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3275" windowHeight="10740"/>
  </bookViews>
  <sheets>
    <sheet name="2017 жэк" sheetId="1" r:id="rId1"/>
    <sheet name="монт 10" sheetId="2" r:id="rId2"/>
  </sheets>
  <definedNames>
    <definedName name="_xlnm._FilterDatabase" localSheetId="0" hidden="1">'2017 жэк'!$D$10:$AV$284</definedName>
    <definedName name="_xlnm._FilterDatabase" localSheetId="1" hidden="1">'монт 10'!$A$7:$AJ$10</definedName>
    <definedName name="_xlnm.Print_Titles" localSheetId="0">'2017 жэк'!$9:$10</definedName>
    <definedName name="_xlnm.Print_Titles" localSheetId="1">'монт 10'!$5:$7</definedName>
  </definedNames>
  <calcPr calcId="125725"/>
</workbook>
</file>

<file path=xl/calcChain.xml><?xml version="1.0" encoding="utf-8"?>
<calcChain xmlns="http://schemas.openxmlformats.org/spreadsheetml/2006/main">
  <c r="AU204" i="1"/>
  <c r="K146"/>
  <c r="W143"/>
  <c r="AE143"/>
  <c r="AQ143"/>
  <c r="AI143"/>
  <c r="AI136"/>
  <c r="AE138"/>
  <c r="W138"/>
  <c r="W97"/>
  <c r="AU91"/>
  <c r="AE91"/>
  <c r="AQ91"/>
  <c r="AI88"/>
  <c r="AU88"/>
  <c r="AE85"/>
  <c r="AI83"/>
  <c r="W82"/>
  <c r="AU82"/>
  <c r="K82"/>
  <c r="W94"/>
  <c r="K94"/>
  <c r="AE94"/>
  <c r="AQ94"/>
  <c r="AI107"/>
  <c r="K276"/>
  <c r="AI276"/>
  <c r="AQ276"/>
  <c r="W276"/>
  <c r="AQ271"/>
  <c r="K271"/>
  <c r="K273" s="1"/>
  <c r="AE273"/>
  <c r="AI273"/>
  <c r="K268"/>
  <c r="K270" s="1"/>
  <c r="AE270"/>
  <c r="AQ270"/>
  <c r="AQ273"/>
  <c r="AI270"/>
  <c r="S267"/>
  <c r="AE267"/>
  <c r="AQ267"/>
  <c r="W263"/>
  <c r="K263"/>
  <c r="O263"/>
  <c r="AA263"/>
  <c r="AQ263"/>
  <c r="AI263"/>
  <c r="W259"/>
  <c r="K259"/>
  <c r="S259"/>
  <c r="S257"/>
  <c r="AE259"/>
  <c r="AI259"/>
  <c r="AQ258"/>
  <c r="AQ259" s="1"/>
  <c r="W256"/>
  <c r="K255"/>
  <c r="K256" s="1"/>
  <c r="AA256"/>
  <c r="S256"/>
  <c r="AE254"/>
  <c r="AE256" s="1"/>
  <c r="AQ256"/>
  <c r="AI256"/>
  <c r="K253"/>
  <c r="S253"/>
  <c r="W253"/>
  <c r="AE253"/>
  <c r="AI253"/>
  <c r="AQ253"/>
  <c r="K250"/>
  <c r="W250"/>
  <c r="AI250"/>
  <c r="AQ250"/>
  <c r="K247"/>
  <c r="AA247"/>
  <c r="S247"/>
  <c r="W247"/>
  <c r="AE247"/>
  <c r="AI247"/>
  <c r="AI244"/>
  <c r="W244"/>
  <c r="K244"/>
  <c r="AQ244"/>
  <c r="S241"/>
  <c r="AQ241"/>
  <c r="AI241"/>
  <c r="AQ236"/>
  <c r="W234"/>
  <c r="W236"/>
  <c r="K236"/>
  <c r="O236"/>
  <c r="O233"/>
  <c r="AI236"/>
  <c r="K232"/>
  <c r="AQ230"/>
  <c r="AQ232" s="1"/>
  <c r="AI232"/>
  <c r="AE229"/>
  <c r="W227"/>
  <c r="W229" s="1"/>
  <c r="K228"/>
  <c r="K229" s="1"/>
  <c r="S227"/>
  <c r="S229" s="1"/>
  <c r="AQ229"/>
  <c r="AI229"/>
  <c r="AI228"/>
  <c r="S226"/>
  <c r="K226"/>
  <c r="AE226"/>
  <c r="AQ224"/>
  <c r="AQ223"/>
  <c r="AI226"/>
  <c r="AA222"/>
  <c r="AA217"/>
  <c r="AA219" s="1"/>
  <c r="AQ218"/>
  <c r="AQ219" s="1"/>
  <c r="AI218"/>
  <c r="AI219" s="1"/>
  <c r="AI216"/>
  <c r="AQ216"/>
  <c r="AE216"/>
  <c r="W216"/>
  <c r="S216"/>
  <c r="K216"/>
  <c r="AI210"/>
  <c r="AI213" s="1"/>
  <c r="AE208"/>
  <c r="S208"/>
  <c r="W208"/>
  <c r="AI204"/>
  <c r="AI206" s="1"/>
  <c r="W206"/>
  <c r="AU206"/>
  <c r="S206"/>
  <c r="AQ203"/>
  <c r="AA203"/>
  <c r="W203"/>
  <c r="S201"/>
  <c r="W201"/>
  <c r="AI199"/>
  <c r="AI201" s="1"/>
  <c r="AU198"/>
  <c r="AE198"/>
  <c r="AI198"/>
  <c r="S196"/>
  <c r="K196"/>
  <c r="AE195"/>
  <c r="AE196" s="1"/>
  <c r="AQ196"/>
  <c r="AI196"/>
  <c r="W195"/>
  <c r="W196" s="1"/>
  <c r="AI194"/>
  <c r="AQ194"/>
  <c r="W194"/>
  <c r="K191"/>
  <c r="AI189"/>
  <c r="W189"/>
  <c r="K189"/>
  <c r="AE189"/>
  <c r="AQ189"/>
  <c r="AI182"/>
  <c r="AE180"/>
  <c r="AI177"/>
  <c r="AQ174"/>
  <c r="S176"/>
  <c r="AA173"/>
  <c r="W173"/>
  <c r="W170"/>
  <c r="AQ170"/>
  <c r="AI168"/>
  <c r="AI165"/>
  <c r="AQ164"/>
  <c r="S164"/>
  <c r="S161"/>
  <c r="AQ161"/>
  <c r="S158"/>
  <c r="AE158"/>
  <c r="AI155"/>
  <c r="K151"/>
  <c r="S151"/>
  <c r="AE151"/>
  <c r="AI149"/>
  <c r="W148"/>
  <c r="AQ147"/>
  <c r="AQ148" s="1"/>
  <c r="W146"/>
  <c r="S146"/>
  <c r="K143"/>
  <c r="K138"/>
  <c r="S138"/>
  <c r="AI138"/>
  <c r="AI134"/>
  <c r="AQ134"/>
  <c r="AU134"/>
  <c r="K132"/>
  <c r="AA130"/>
  <c r="W130"/>
  <c r="AI127"/>
  <c r="AI130" s="1"/>
  <c r="S122"/>
  <c r="AA122"/>
  <c r="AI122"/>
  <c r="AI111"/>
  <c r="AE114"/>
  <c r="AQ103"/>
  <c r="W103"/>
  <c r="K103"/>
  <c r="S100"/>
  <c r="AQ97"/>
  <c r="K97"/>
  <c r="AI97"/>
  <c r="S94"/>
  <c r="AI94"/>
  <c r="AI91"/>
  <c r="W91"/>
  <c r="AQ226" l="1"/>
  <c r="K88"/>
  <c r="W88"/>
  <c r="K85"/>
  <c r="W83"/>
  <c r="W85" s="1"/>
  <c r="AI85"/>
  <c r="AQ85"/>
  <c r="AQ80"/>
  <c r="AQ82" s="1"/>
  <c r="AI80"/>
  <c r="AI82" s="1"/>
  <c r="AQ76" l="1"/>
  <c r="AE76"/>
  <c r="W76"/>
  <c r="K74"/>
  <c r="AQ74"/>
  <c r="AI74"/>
  <c r="AE74"/>
  <c r="W74"/>
  <c r="AE71"/>
  <c r="K71"/>
  <c r="W68"/>
  <c r="W71"/>
  <c r="AQ71"/>
  <c r="AI71"/>
  <c r="AI67"/>
  <c r="AE67"/>
  <c r="W67"/>
  <c r="K63"/>
  <c r="AA63"/>
  <c r="AI63"/>
  <c r="AQ60"/>
  <c r="K60"/>
  <c r="AI60"/>
  <c r="K56"/>
  <c r="AQ56"/>
  <c r="AI56"/>
  <c r="AE56"/>
  <c r="W56"/>
  <c r="S56"/>
  <c r="AQ54"/>
  <c r="AU54"/>
  <c r="W54"/>
  <c r="K54"/>
  <c r="AA54"/>
  <c r="S54"/>
  <c r="AE54"/>
  <c r="W51"/>
  <c r="AE51"/>
  <c r="K51"/>
  <c r="S51"/>
  <c r="AI51"/>
  <c r="K48"/>
  <c r="AI48"/>
  <c r="S48"/>
  <c r="AQ48"/>
  <c r="AQ41"/>
  <c r="AI41"/>
  <c r="AQ37"/>
  <c r="K37"/>
  <c r="K38" s="1"/>
  <c r="AQ38"/>
  <c r="AI36"/>
  <c r="AI38" s="1"/>
  <c r="AE36"/>
  <c r="AA35"/>
  <c r="AE35"/>
  <c r="AQ35"/>
  <c r="AI33"/>
  <c r="S35"/>
  <c r="K35"/>
  <c r="K31"/>
  <c r="K32" s="1"/>
  <c r="S32"/>
  <c r="AQ32"/>
  <c r="AI32"/>
  <c r="AQ29"/>
  <c r="AA29"/>
  <c r="K26"/>
  <c r="AI24"/>
  <c r="K21"/>
  <c r="AQ23"/>
  <c r="W22"/>
  <c r="W23"/>
  <c r="K23"/>
  <c r="AE20"/>
  <c r="W20"/>
  <c r="AI14"/>
  <c r="AI16" s="1"/>
  <c r="K14"/>
  <c r="K16"/>
  <c r="W14"/>
  <c r="W16" s="1"/>
  <c r="AE14"/>
  <c r="AE16" s="1"/>
  <c r="AQ14"/>
  <c r="AQ16" s="1"/>
  <c r="G277" l="1"/>
  <c r="AU277"/>
  <c r="AS277"/>
  <c r="AO277"/>
  <c r="AM277"/>
  <c r="AK277"/>
  <c r="AC277"/>
  <c r="AA277"/>
  <c r="Y277"/>
  <c r="U277"/>
  <c r="Q277"/>
  <c r="O277"/>
  <c r="M277"/>
  <c r="I277"/>
  <c r="S232" l="1"/>
  <c r="S244"/>
  <c r="W219"/>
  <c r="W35"/>
  <c r="AI267"/>
  <c r="AE250"/>
  <c r="AE241"/>
  <c r="AE236"/>
  <c r="AG229"/>
  <c r="AG277" s="1"/>
  <c r="AI186"/>
  <c r="AE176"/>
  <c r="AI103"/>
  <c r="AI100"/>
  <c r="AE100"/>
  <c r="AQ67"/>
  <c r="AI29"/>
  <c r="AE26"/>
  <c r="AI35"/>
  <c r="AI26"/>
  <c r="AI21"/>
  <c r="AI23" s="1"/>
  <c r="AE38"/>
  <c r="AI108"/>
  <c r="AI114"/>
  <c r="AI147"/>
  <c r="AI150"/>
  <c r="AI159"/>
  <c r="AI161" s="1"/>
  <c r="AI166"/>
  <c r="AI169"/>
  <c r="AI171"/>
  <c r="AI172"/>
  <c r="AI174"/>
  <c r="AI175"/>
  <c r="AI180"/>
  <c r="AI207"/>
  <c r="AI220"/>
  <c r="K218"/>
  <c r="S274"/>
  <c r="S271"/>
  <c r="S273" s="1"/>
  <c r="S277" s="1"/>
  <c r="K53"/>
  <c r="AI54"/>
  <c r="F23"/>
  <c r="F20"/>
  <c r="F16"/>
  <c r="F13"/>
  <c r="F29"/>
  <c r="D277"/>
  <c r="F276"/>
  <c r="F273"/>
  <c r="F270"/>
  <c r="F267"/>
  <c r="F263"/>
  <c r="F259"/>
  <c r="F256"/>
  <c r="F253"/>
  <c r="F250"/>
  <c r="F247"/>
  <c r="F244"/>
  <c r="F241"/>
  <c r="F236"/>
  <c r="F232"/>
  <c r="F229"/>
  <c r="F226"/>
  <c r="F222"/>
  <c r="F219"/>
  <c r="F216"/>
  <c r="F213"/>
  <c r="F208"/>
  <c r="F206"/>
  <c r="F203"/>
  <c r="F201"/>
  <c r="F198"/>
  <c r="F196"/>
  <c r="F194"/>
  <c r="F191"/>
  <c r="F189"/>
  <c r="F186"/>
  <c r="F182"/>
  <c r="F180"/>
  <c r="F176"/>
  <c r="F173"/>
  <c r="F170"/>
  <c r="F167"/>
  <c r="F164"/>
  <c r="F161"/>
  <c r="F158"/>
  <c r="F155"/>
  <c r="F151"/>
  <c r="F148"/>
  <c r="F146"/>
  <c r="F143"/>
  <c r="F140"/>
  <c r="F138"/>
  <c r="F134"/>
  <c r="F132"/>
  <c r="F130"/>
  <c r="F126"/>
  <c r="F122"/>
  <c r="F118"/>
  <c r="F114"/>
  <c r="F110"/>
  <c r="F107"/>
  <c r="F103"/>
  <c r="F100"/>
  <c r="F97"/>
  <c r="F94"/>
  <c r="F91"/>
  <c r="F88"/>
  <c r="F85"/>
  <c r="F82"/>
  <c r="F79"/>
  <c r="F76"/>
  <c r="F74"/>
  <c r="F71"/>
  <c r="F67"/>
  <c r="F63"/>
  <c r="F60"/>
  <c r="F56"/>
  <c r="F54"/>
  <c r="F51"/>
  <c r="F48"/>
  <c r="F45"/>
  <c r="F43"/>
  <c r="F41"/>
  <c r="F38"/>
  <c r="F35"/>
  <c r="F32"/>
  <c r="F26"/>
  <c r="K277" l="1"/>
  <c r="W277"/>
  <c r="AQ277"/>
  <c r="AE277"/>
  <c r="AI176"/>
  <c r="AI173"/>
  <c r="AI170"/>
  <c r="AI167"/>
  <c r="AI151"/>
  <c r="F277"/>
  <c r="AI277" l="1"/>
</calcChain>
</file>

<file path=xl/sharedStrings.xml><?xml version="1.0" encoding="utf-8"?>
<sst xmlns="http://schemas.openxmlformats.org/spreadsheetml/2006/main" count="1635" uniqueCount="1007">
  <si>
    <t>№ п/п</t>
  </si>
  <si>
    <t>Адрес</t>
  </si>
  <si>
    <t xml:space="preserve">Ремонт водоснабжения </t>
  </si>
  <si>
    <t>т.руб.</t>
  </si>
  <si>
    <t>10 квартал</t>
  </si>
  <si>
    <t>7А</t>
  </si>
  <si>
    <t>ул. Крупской</t>
  </si>
  <si>
    <t>ул. Культуры</t>
  </si>
  <si>
    <t>4А</t>
  </si>
  <si>
    <t>8А</t>
  </si>
  <si>
    <t>ул. Медведева</t>
  </si>
  <si>
    <t>ул. Монтажников</t>
  </si>
  <si>
    <t>ул.Строителей</t>
  </si>
  <si>
    <t>ул.Чайковского</t>
  </si>
  <si>
    <t>ул.Энергетиков</t>
  </si>
  <si>
    <t>24А</t>
  </si>
  <si>
    <t>ул. Чайковского</t>
  </si>
  <si>
    <t>объем работ</t>
  </si>
  <si>
    <t>ПЛАН</t>
  </si>
  <si>
    <t>ИТОГО:</t>
  </si>
  <si>
    <t>т.руб</t>
  </si>
  <si>
    <t>ИТОГО: по дому</t>
  </si>
  <si>
    <t xml:space="preserve">ул. Культуры    </t>
  </si>
  <si>
    <t>Ремонт отопления</t>
  </si>
  <si>
    <t>Ремонт канализации</t>
  </si>
  <si>
    <t>Электромонтажные работы</t>
  </si>
  <si>
    <t>Ремонт кровли, оголовков вентшахт, замена в/труб</t>
  </si>
  <si>
    <t>Ремонт фасада, цоколя и отмостки</t>
  </si>
  <si>
    <t>2А</t>
  </si>
  <si>
    <t>1А</t>
  </si>
  <si>
    <t>ТУ</t>
  </si>
  <si>
    <t xml:space="preserve"> </t>
  </si>
  <si>
    <t>Начислено за год по тек/ремонту</t>
  </si>
  <si>
    <t xml:space="preserve">Выполнено </t>
  </si>
  <si>
    <t>Выполнено</t>
  </si>
  <si>
    <t>Остаток на 01.01.17</t>
  </si>
  <si>
    <t>ВСЕГО по плану на 2017г</t>
  </si>
  <si>
    <t xml:space="preserve">манометр-2шт
</t>
  </si>
  <si>
    <t>термоментр-2шт</t>
  </si>
  <si>
    <t>ХВС труба 76-10м
ХВС труба 20-6м
ХВС кран 25-6шт</t>
  </si>
  <si>
    <t>8 930
1 896
2 820</t>
  </si>
  <si>
    <t>труба 100-12м</t>
  </si>
  <si>
    <t>манометры-4шт</t>
  </si>
  <si>
    <t>ГВС труба 57-20м
ГВС труба 25-6м
ГВС кран 25-10шт</t>
  </si>
  <si>
    <t>15 200
2 676
4 250</t>
  </si>
  <si>
    <t>термометр-4шт</t>
  </si>
  <si>
    <t xml:space="preserve">1 230
</t>
  </si>
  <si>
    <t>ХВС труба 76-20м
ХВС труба 25-10м
ХВС кран 25-8шт</t>
  </si>
  <si>
    <t>17 860
4 460
3 760</t>
  </si>
  <si>
    <t>труба 100-20м</t>
  </si>
  <si>
    <t xml:space="preserve">труба 76-16м
труба 57-18м
труба 20-10м
</t>
  </si>
  <si>
    <t xml:space="preserve">14 288
13 680
3 160
</t>
  </si>
  <si>
    <t>9 408
5 808</t>
  </si>
  <si>
    <t>манометр-4шт</t>
  </si>
  <si>
    <t>7 600
4 130
3 160</t>
  </si>
  <si>
    <t>ГВС труба 57-10м
ГВС труба 20-10м
ГВС кран 20-10шт</t>
  </si>
  <si>
    <t>ХВС труба 20-6м
ХВС кран 20-12шт</t>
  </si>
  <si>
    <t>2 478
3 792</t>
  </si>
  <si>
    <t>труба 100-16м</t>
  </si>
  <si>
    <t>труба 89-12м
труба 57-10м
труба 20-10м</t>
  </si>
  <si>
    <t>12 168
7 600
3 920</t>
  </si>
  <si>
    <t>2 528
1 936</t>
  </si>
  <si>
    <t>манометр-2шт</t>
  </si>
  <si>
    <t>термометр-2шт</t>
  </si>
  <si>
    <t>ГВС труба 20-10м
ГВС кран 20-6шт</t>
  </si>
  <si>
    <t>4 130
1 896</t>
  </si>
  <si>
    <t>ХВС труба 57-10м
ХВС труба 20-6м
ХВС кран 20-6м</t>
  </si>
  <si>
    <t>7 600
2 478
1 896</t>
  </si>
  <si>
    <t>труба 100-10м</t>
  </si>
  <si>
    <t>труба 89-10м
труба 57-12м
труба 20-10м</t>
  </si>
  <si>
    <t>10 140
9 120
3 920</t>
  </si>
  <si>
    <t>3 160
2 420</t>
  </si>
  <si>
    <t>термометр- 2шт</t>
  </si>
  <si>
    <t>ГВС труба 76-8м
ГВС труба 20-10м
ГВС кран 20-8шт</t>
  </si>
  <si>
    <t>7 144
4 130
1 896</t>
  </si>
  <si>
    <t>ХВС труба 76-20м
ХВС труба 20-8м
ХВС кран 20-6шт</t>
  </si>
  <si>
    <t>17 860
3 304
1 896</t>
  </si>
  <si>
    <t>1 896
1 452</t>
  </si>
  <si>
    <t>термометр-
2шт</t>
  </si>
  <si>
    <t>ГВС труба 76-10м
ГВС труба 25-10м
ГВС труба 20-10м
ГВС кран 25-6шт
ГВС кран 20-8шт</t>
  </si>
  <si>
    <t>8 930
4 460
4 130
2 820
2 528</t>
  </si>
  <si>
    <t>ХВС труба 76-10м
ХВС труба 25-8м
ХВС кран 25-6шт</t>
  </si>
  <si>
    <t>8 930
3 568
2 820</t>
  </si>
  <si>
    <t>труба 76-10м
труба 20-6м</t>
  </si>
  <si>
    <t>8 930
2 352</t>
  </si>
  <si>
    <t>ГВС труба 76-10м
ГВС труба 20-6м
ГВС кран 20-8шт</t>
  </si>
  <si>
    <t>8 930
2 478
2 528</t>
  </si>
  <si>
    <t>ХВС труба 76-6м
ХВС труба 25-8шт
ХВС кран 25-8шт
ХВС задвижка-1шт</t>
  </si>
  <si>
    <t>5 358
3 568
3 760
4 783</t>
  </si>
  <si>
    <t>труба 57-6м
труба 20-6м</t>
  </si>
  <si>
    <t>4 560
2 352</t>
  </si>
  <si>
    <t>ХВС труба 76-10м
ХВС кран 25-6шт</t>
  </si>
  <si>
    <t>8 930
2 820</t>
  </si>
  <si>
    <t>3 792
2 904</t>
  </si>
  <si>
    <t>12 160
3 920</t>
  </si>
  <si>
    <t>труба 57-16м
труба 20-10м</t>
  </si>
  <si>
    <t>ГВС труба 76-18м
ГВС труба 25-6м
ГВС кран 25-8шт</t>
  </si>
  <si>
    <t>ХВС труба 76-10м
ХВС кран 25-8шт</t>
  </si>
  <si>
    <t>8 930
3 760</t>
  </si>
  <si>
    <t>16 074
2 676
3 760</t>
  </si>
  <si>
    <t>ГВС труба 57-8м
ГВС труба 25-6м
ГВС кран 25-4шт</t>
  </si>
  <si>
    <t>6 080
2 676
1 880</t>
  </si>
  <si>
    <t>2 676
1 880</t>
  </si>
  <si>
    <t>труба 20-6м</t>
  </si>
  <si>
    <t>1 264
968</t>
  </si>
  <si>
    <t>ХВС труба 25-4м
ХВС кран 25-4шт</t>
  </si>
  <si>
    <t>1 784
1 880</t>
  </si>
  <si>
    <t>труба 89-6м</t>
  </si>
  <si>
    <t>3 160
1 936</t>
  </si>
  <si>
    <t>4 460
4 700</t>
  </si>
  <si>
    <t>ХВС труба 25-10м
ХВС кран 25-10шт</t>
  </si>
  <si>
    <t>6 084
6 080
3 136</t>
  </si>
  <si>
    <t>2 820
1 896</t>
  </si>
  <si>
    <t>6 080
2 478
1 896</t>
  </si>
  <si>
    <t>6 432
2 676
1 880</t>
  </si>
  <si>
    <t>Обрезка деревьев</t>
  </si>
  <si>
    <t>ремонт
цоколя</t>
  </si>
  <si>
    <t>ремонт крыльца 
2 под.</t>
  </si>
  <si>
    <t>известковая 
побелка 
подвала №1-
250м2</t>
  </si>
  <si>
    <t>ремонт крыльца
2,3 под.</t>
  </si>
  <si>
    <t>частичный 
ремонт 
водосточных
труб д.150мм
-12м</t>
  </si>
  <si>
    <t>ремонт
козырьков над входом в подъезд
№1,2,3,4</t>
  </si>
  <si>
    <t>ремонт 
крылец
3,4 под.</t>
  </si>
  <si>
    <t>ремонт 
подъездов
№1,2,3</t>
  </si>
  <si>
    <t>ремонт 
подъезда
№4</t>
  </si>
  <si>
    <t>ремонт 
крылец
1,3 под.</t>
  </si>
  <si>
    <t>ремонт 
крылец
2,3 под.</t>
  </si>
  <si>
    <t>ремонт кровли навесов спуска в подвал
-11м2</t>
  </si>
  <si>
    <t>ремонт 
подъездов
№1,2,3,4</t>
  </si>
  <si>
    <t>ремонт 
крылец
4,5,6 под.</t>
  </si>
  <si>
    <t>ремонт
козырьков над входом в подъезд
№2,4</t>
  </si>
  <si>
    <t>ремонт 
крыльца
3 под.</t>
  </si>
  <si>
    <t>ремонт 
крыльца
1 под.</t>
  </si>
  <si>
    <t xml:space="preserve">ремонт 
лестничного
марша спуска в подвал
№1,2,3,4  </t>
  </si>
  <si>
    <t>ремонт 
крыльца
1,2 под.</t>
  </si>
  <si>
    <t>ремонт 
подъезда
№2</t>
  </si>
  <si>
    <t>покраска 
цоколя</t>
  </si>
  <si>
    <t>Ремонт  межпанельных швов</t>
  </si>
  <si>
    <t>ХВС труба 25-10м
ХВС кран 25-6шт</t>
  </si>
  <si>
    <t>ГВС труба 25-10м
ГВС кран 25-6шт</t>
  </si>
  <si>
    <t>4 460
2 820</t>
  </si>
  <si>
    <t>труба 57-12м
труба 20-6м</t>
  </si>
  <si>
    <t>7 520
3 872</t>
  </si>
  <si>
    <t>ГВС труба 20-10м
ГВС кран 25-10шт</t>
  </si>
  <si>
    <t>4 130
3 160</t>
  </si>
  <si>
    <t>14 896
5 260</t>
  </si>
  <si>
    <t>ГВС труба 20-20м
ГВС кран 20-20шт
ГВС кран 15-10шт</t>
  </si>
  <si>
    <t>8 260
6 320
2 420</t>
  </si>
  <si>
    <t>10 716
2 676
4 700</t>
  </si>
  <si>
    <t>5 056
3 872</t>
  </si>
  <si>
    <t>7 600
3 160</t>
  </si>
  <si>
    <t>ХВС труба 25-9м</t>
  </si>
  <si>
    <t>труба 100-24м</t>
  </si>
  <si>
    <t xml:space="preserve">ГВС труба 40-7м
</t>
  </si>
  <si>
    <t>ХВС труба 32-4м</t>
  </si>
  <si>
    <t>труба 32-28м
труба 40-20м
труба 57-18м</t>
  </si>
  <si>
    <t>20 104
10 620
13 680</t>
  </si>
  <si>
    <t>труба 100-28м</t>
  </si>
  <si>
    <t>труба 100-18м</t>
  </si>
  <si>
    <t>ГВС труба 57-5м
ХВС труба 57-7м</t>
  </si>
  <si>
    <t>3 800
5 320</t>
  </si>
  <si>
    <t>труба 15-36м
труба 20-42м
труба 32-12м
труба 40-20м
труба 57-40м
труба 76-40м</t>
  </si>
  <si>
    <t>труба 100-32м</t>
  </si>
  <si>
    <t>ХВС труба 25-12м</t>
  </si>
  <si>
    <t>ГВС труба 25-9м</t>
  </si>
  <si>
    <t>труба 15-36м
труба 20-34м
труба 57-50м
труба 76-40м</t>
  </si>
  <si>
    <t>ГВС труба 25-7м
ГВС труба 32-4м</t>
  </si>
  <si>
    <t>ХВС труба 25-6м</t>
  </si>
  <si>
    <t>3 122
1 808</t>
  </si>
  <si>
    <t>труба 15-40м
труба 20-40м
труба 57-46м
труба 76-20м</t>
  </si>
  <si>
    <t>ГВС труба 32-6м</t>
  </si>
  <si>
    <t>труба 15-34м
труба 20-42м
труба 25-28м
труба 32-30м
труба 57-48м
труба 76-42м</t>
  </si>
  <si>
    <t>труба 100-36м</t>
  </si>
  <si>
    <t>труба 15-9м
труба 20-14м
труба 57-28м
труба 76-18м</t>
  </si>
  <si>
    <t>труба 100-9м</t>
  </si>
  <si>
    <t>12 796
14 112
18 240
10 716</t>
  </si>
  <si>
    <t>5 484
3 528</t>
  </si>
  <si>
    <t>4 113
5 488
21 280
16 074</t>
  </si>
  <si>
    <t>15 538
16 464
11 900
12 930
36 480
37 506</t>
  </si>
  <si>
    <t>18 280
15 680
34 960
17 860</t>
  </si>
  <si>
    <t>16 452
13 328
14 042
38 000</t>
  </si>
  <si>
    <t>16 452
16 464
5 172
10 620
30 400
35 720</t>
  </si>
  <si>
    <t>13 710
11 760</t>
  </si>
  <si>
    <t>13 710
9 408</t>
  </si>
  <si>
    <t>8 226
12 544
6 800</t>
  </si>
  <si>
    <t>9 140
9 800
3 400
13 680
10 716</t>
  </si>
  <si>
    <t>10 968
10 976
9 482
13 680
8 037</t>
  </si>
  <si>
    <t>11 882
8 624</t>
  </si>
  <si>
    <t>труба 15-32м
труба 20-28м
труба 32-25м
труба 40-29м
труба 57-24м</t>
  </si>
  <si>
    <t>14 624
10 976
10 775
15 399
18 240</t>
  </si>
  <si>
    <t>10 968
10 976</t>
  </si>
  <si>
    <t>ГВС труба 57-9м</t>
  </si>
  <si>
    <t>ХВС труба 57-9м</t>
  </si>
  <si>
    <t>труба 15-40м
труба 20-32м
труба 57-30м
труба 76-29м</t>
  </si>
  <si>
    <t>18 280
12 544
22 800
25 897</t>
  </si>
  <si>
    <t>12 796
12 544
21 280
8 037</t>
  </si>
  <si>
    <t>труба 100-34м</t>
  </si>
  <si>
    <t>труба 15-34м
труба 20-32м
труба 57-28м
труба 76-18м</t>
  </si>
  <si>
    <t>15 538
12 544
21 280
16 074</t>
  </si>
  <si>
    <t>ГВС труба 57-7м</t>
  </si>
  <si>
    <t>ХВС труба 57-4м</t>
  </si>
  <si>
    <t>ГВС 25-9м</t>
  </si>
  <si>
    <t>12 796
10 584
12 750
12 068
16 992
19 760</t>
  </si>
  <si>
    <t>труба 100-22м</t>
  </si>
  <si>
    <t>труба 100-14м</t>
  </si>
  <si>
    <t>труба 100-26м</t>
  </si>
  <si>
    <t>10 968
11 368
6 080</t>
  </si>
  <si>
    <t>труба 100-6м</t>
  </si>
  <si>
    <t>труба 15-9м
труба 20-6м
труба 25-12м
труба 32-6м
труба 40-9м</t>
  </si>
  <si>
    <t>4 113
2 352
5 100
2 586
4 779</t>
  </si>
  <si>
    <t>труба 100-8м</t>
  </si>
  <si>
    <t>6 855
2 352
2 550
3 879</t>
  </si>
  <si>
    <t>7 321
7 448
20 520
8 037</t>
  </si>
  <si>
    <t>труба 15-9м
труба 20-14м
труба 57-24м</t>
  </si>
  <si>
    <t>4 113
5 488
18 240</t>
  </si>
  <si>
    <t>10 968
11 760
21 280</t>
  </si>
  <si>
    <t>труба 57-24м</t>
  </si>
  <si>
    <t>труба 100-3м</t>
  </si>
  <si>
    <t>2 352
3 825
3 448
3 186</t>
  </si>
  <si>
    <t>труба 100-4м</t>
  </si>
  <si>
    <t>труба 15-8м
труба 25-6м
труба 32-9м
труба 40-7м</t>
  </si>
  <si>
    <t>3 656
2 550
3 879
3 717</t>
  </si>
  <si>
    <t>труба 100-5м</t>
  </si>
  <si>
    <t>4 113
2 352
3 448</t>
  </si>
  <si>
    <t>труба 100-7м</t>
  </si>
  <si>
    <t>5 484
2 352
14 440</t>
  </si>
  <si>
    <t>13 710
9 408
28 880</t>
  </si>
  <si>
    <t>10 968
7 056
24 320</t>
  </si>
  <si>
    <t>13 710
16 464
22 040
7 144</t>
  </si>
  <si>
    <t>ХВС труба 57-24м</t>
  </si>
  <si>
    <t>10 968
10 976
5 100
7 758
21 240</t>
  </si>
  <si>
    <t>труба 15-8м
труба 20-9м</t>
  </si>
  <si>
    <t>3 656
3 528</t>
  </si>
  <si>
    <t>7 312
9 408
9 120</t>
  </si>
  <si>
    <t>труба 15-6м
труба 20-8м
труба 57-13м</t>
  </si>
  <si>
    <t>2 742
3 136
9 880</t>
  </si>
  <si>
    <t>труба 15-8м
труба 20-12м
труба 57-16м
труба 76-9м</t>
  </si>
  <si>
    <t>3 656
4 704
12 160
8 037</t>
  </si>
  <si>
    <t>труба 100-11м</t>
  </si>
  <si>
    <t>ХВС труба 40-13м</t>
  </si>
  <si>
    <t>8 226
5 096
13 806
13 680</t>
  </si>
  <si>
    <t>10 968
8 232
7 758
12 744
14 440</t>
  </si>
  <si>
    <t>труба 100-19м</t>
  </si>
  <si>
    <t>8 226
12 544
21 280
8 037</t>
  </si>
  <si>
    <t>9 140
9 408
22 800
10 716</t>
  </si>
  <si>
    <t>1 шт</t>
  </si>
  <si>
    <t>2 шт</t>
  </si>
  <si>
    <t xml:space="preserve">1 шт </t>
  </si>
  <si>
    <t>капитальный ремонт</t>
  </si>
  <si>
    <t>покраска 
цоколя
-300м2</t>
  </si>
  <si>
    <t>труба 25-30м
труба 20-18м
труба 15-24м</t>
  </si>
  <si>
    <t>14 100
5 688
10 968</t>
  </si>
  <si>
    <t>8 208
30 156</t>
  </si>
  <si>
    <t>труба 40-16м
труба 32-42м</t>
  </si>
  <si>
    <t>ремонт крылец
1,2 под.</t>
  </si>
  <si>
    <t>труба 25-40м
труба 40-32м
труба 57-18м</t>
  </si>
  <si>
    <t>17 000
16 992
13 680</t>
  </si>
  <si>
    <t>труба 15-34м
труба 20-32м</t>
  </si>
  <si>
    <t>15 538
12 544</t>
  </si>
  <si>
    <t>труба 40-42м
труба 57-29м
труба 76-9м</t>
  </si>
  <si>
    <t>12 796
10 976</t>
  </si>
  <si>
    <t>22 302
22 040
8 037</t>
  </si>
  <si>
    <t>труба 57-32м
труба 76-12м</t>
  </si>
  <si>
    <t>24 320
10 716</t>
  </si>
  <si>
    <t>труба 32-18м
труба 40-24м
труба 57-29м</t>
  </si>
  <si>
    <t>7 758
12 744
22 040</t>
  </si>
  <si>
    <t>5 484
5 488</t>
  </si>
  <si>
    <t>труба 25-24м
труба 32-18м
труба 40-28м</t>
  </si>
  <si>
    <t>10 200
7 758
14 868</t>
  </si>
  <si>
    <t>4 113
4 704</t>
  </si>
  <si>
    <t>труба 15-9м
труба 20-12м</t>
  </si>
  <si>
    <t>труба 25-28м
труба 32-30м
труба 40-26м</t>
  </si>
  <si>
    <t>11 900
12 930
13 806</t>
  </si>
  <si>
    <t>9 140
6 272</t>
  </si>
  <si>
    <t>труба 25-14м
труба 32-6м
труба 40-9м</t>
  </si>
  <si>
    <t>5 950
2 586
4 779</t>
  </si>
  <si>
    <t>труба 15-6м
труба 20-8м</t>
  </si>
  <si>
    <t>2 742
3 136</t>
  </si>
  <si>
    <t>труба 25-12м
труба 32-36м
труба 40-37м</t>
  </si>
  <si>
    <t>5 100
15 516
19 647</t>
  </si>
  <si>
    <t>12 796
6 272</t>
  </si>
  <si>
    <t>труба 32-2м
труба 40-24м
труба 57-18м</t>
  </si>
  <si>
    <t>862
12 744
13 680</t>
  </si>
  <si>
    <t>9 140
7 056
8 500</t>
  </si>
  <si>
    <t>труба 32-28м
труба 40-34м
труба 57-32м
труба 76-18м</t>
  </si>
  <si>
    <t>12 068
18 054
24 320
16 074</t>
  </si>
  <si>
    <t>11 882
10 976
4 250</t>
  </si>
  <si>
    <t xml:space="preserve">                        </t>
  </si>
  <si>
    <r>
      <t xml:space="preserve">Расчет: </t>
    </r>
    <r>
      <rPr>
        <sz val="10"/>
        <rFont val="Arial"/>
        <family val="2"/>
        <charset val="204"/>
      </rPr>
      <t xml:space="preserve">202 199,2 м2х4,50 руб.х8 месяцев =7 279 171,2 руб. </t>
    </r>
  </si>
  <si>
    <r>
      <t xml:space="preserve">                                              </t>
    </r>
    <r>
      <rPr>
        <b/>
        <sz val="10"/>
        <rFont val="Arial"/>
        <family val="2"/>
        <charset val="204"/>
      </rPr>
      <t>Итого:</t>
    </r>
    <r>
      <rPr>
        <sz val="10"/>
        <rFont val="Arial"/>
        <family val="2"/>
        <charset val="204"/>
      </rPr>
      <t xml:space="preserve"> 7 279 171,2+3 720 465,28=10 999 636,48 руб.</t>
    </r>
  </si>
  <si>
    <r>
      <t xml:space="preserve">                                                                                                                                                                                              10 999 636,48 руб. - 8 555 803 руб. = </t>
    </r>
    <r>
      <rPr>
        <b/>
        <sz val="10"/>
        <rFont val="Arial Cyr"/>
        <charset val="204"/>
      </rPr>
      <t xml:space="preserve"> 2 443 833,48 руб. - непредвиденные работы по текущему ремонту</t>
    </r>
  </si>
  <si>
    <t xml:space="preserve">                                                       </t>
  </si>
  <si>
    <t xml:space="preserve">                                                                                 *Примечание: выполнение плана будет зависеть от своевременной оплаты собственниками расходов по текущему ремонту МКД</t>
  </si>
  <si>
    <t xml:space="preserve">                      Начальник отдела  УД                                                                 Г.В.Вакалюк</t>
  </si>
  <si>
    <r>
      <t xml:space="preserve">10 999 636,48 руб.х79.12% = </t>
    </r>
    <r>
      <rPr>
        <b/>
        <sz val="10"/>
        <rFont val="Arial"/>
        <family val="2"/>
        <charset val="204"/>
      </rPr>
      <t>8 703 735 руб.-плановый текущий ремонт</t>
    </r>
  </si>
  <si>
    <t xml:space="preserve">                                                                     202 199,2 м2х4,60 руб.х4 месяца =3 720 465,28 руб. </t>
  </si>
  <si>
    <t>труба 25-6м
труба 32-12м
труба 40-8м</t>
  </si>
  <si>
    <t>2 550
5 172
4 248</t>
  </si>
  <si>
    <t>ремонт кровли навесов спуска в подвал №1,2
-22м2</t>
  </si>
  <si>
    <t>ремонт кровли навесов спуска в подвал №1
-14м2</t>
  </si>
  <si>
    <t>труба 25-12м
труба 32-9м
труба 40-12м</t>
  </si>
  <si>
    <t>труба 15-9м
труба 20-18м</t>
  </si>
  <si>
    <t>5 100
3 879
6 372</t>
  </si>
  <si>
    <t>4 113
7 056</t>
  </si>
  <si>
    <t>труба 25-9м
труба 32-10м
труба 40-18м</t>
  </si>
  <si>
    <t>3 825
4 310
9 558</t>
  </si>
  <si>
    <t>козырек подъез. №2</t>
  </si>
  <si>
    <t>труба100-3,75м переход-1     отвод-2       компенсатор-1</t>
  </si>
  <si>
    <t>труба10-7м   переход110-2  тройник 100-2  ревизия100-1  отвод50-3</t>
  </si>
  <si>
    <t xml:space="preserve">труба100-9м   преход-2      ревизия-1     тройник-1     патрубок-2   отвод -5   </t>
  </si>
  <si>
    <t xml:space="preserve">труба-100-7м    переход.д.100-1 ревизия д.100-2 патрубок-2  тройник-3     отвод-1      </t>
  </si>
  <si>
    <t>труб.15-1,5м   вентель 20-2</t>
  </si>
  <si>
    <t>ГВС труба 76-3,5 м    вентель 20-2</t>
  </si>
  <si>
    <t>ХВС труба 25-1    вентель-2</t>
  </si>
  <si>
    <t>труба100-3м    переход-2      тройник-1     конмпенсатор-1 труба100-1,25   муфта-1      переход-2     ревизия - 1    тройник-1     манжета-1</t>
  </si>
  <si>
    <t xml:space="preserve">ГВС труба 57-30м               </t>
  </si>
  <si>
    <t>ГВС труба 25-3.5м     ГВС труба 57-3         ГВС труба 25-1,5 м    ГВС труба 20-4,5 м    вентель 20-2           сгон-1</t>
  </si>
  <si>
    <t xml:space="preserve">труба 15-9м
труба 20-6м
труба 32-8м    </t>
  </si>
  <si>
    <t>труб.76-2 труба 20-2 вентель 20-1     труб.25-2</t>
  </si>
  <si>
    <t xml:space="preserve">труба 32-20м
труба 40-18м   </t>
  </si>
  <si>
    <t xml:space="preserve">8 620
9 558  </t>
  </si>
  <si>
    <t xml:space="preserve">труба 20-24м
труба 25-28м
труба 32-30м
труба 40-26м  </t>
  </si>
  <si>
    <t>труб.15-1,5м     сгоны-3  насос-1</t>
  </si>
  <si>
    <t xml:space="preserve">ремонт освещен. </t>
  </si>
  <si>
    <t>установка   светильников-1</t>
  </si>
  <si>
    <t>установка  светил.-4</t>
  </si>
  <si>
    <t xml:space="preserve">кровля навеса подвл№1 </t>
  </si>
  <si>
    <t xml:space="preserve">труб.25-8  труб.20-6 </t>
  </si>
  <si>
    <t>труб.20-3.5     сгон-3</t>
  </si>
  <si>
    <t xml:space="preserve">ХВС труба 20-2,5     вентель 20-4        сгоны-4                      ХВС труба 57-18         ХВС труба 20-10          вентетель 20-5     </t>
  </si>
  <si>
    <t>3848    3941</t>
  </si>
  <si>
    <t>11109      13891</t>
  </si>
  <si>
    <t xml:space="preserve">2 478
1 896    </t>
  </si>
  <si>
    <t xml:space="preserve">ГВС труба 20-6м
ГВС кран 20-6шт             </t>
  </si>
  <si>
    <t>5357      2087     2012</t>
  </si>
  <si>
    <t>кровля кв.96 -2.8 кв.м.</t>
  </si>
  <si>
    <t xml:space="preserve">труб.20-4  труб.5-6  </t>
  </si>
  <si>
    <t>ГВС труба 25-2м</t>
  </si>
  <si>
    <t>труб 40-4 труб32-12    труб 25-5 труб-57-3,5     труб-20-1  вентнль 20-1    труб 25-8 труб.57-3,5      труб.20-1</t>
  </si>
  <si>
    <t>ХВС труба-40 - 5</t>
  </si>
  <si>
    <t>труба 89-10м
труба 57-10м
труба 20-10м   труб.76-1 м</t>
  </si>
  <si>
    <t>10 140
7 600
3 920   1185</t>
  </si>
  <si>
    <t>ремонт кровли</t>
  </si>
  <si>
    <t>ХВС (розлив)</t>
  </si>
  <si>
    <t>труба 100-7,5  переход-2     крестовина -3   патрубок-4    ревизия-3     отвод-7       тройник-6     пробивка-5    кв.13.17,21.24   кв.36</t>
  </si>
  <si>
    <t>Ремонт подъездов, крылец, козырьков и балконных плит.цоколей</t>
  </si>
  <si>
    <t>кровля кв.103, 104     кровля кв.118</t>
  </si>
  <si>
    <t>23030   9869</t>
  </si>
  <si>
    <t>9 140
9 408
45 600  10187</t>
  </si>
  <si>
    <t>кв. 8</t>
  </si>
  <si>
    <t>кв.4. кв.8</t>
  </si>
  <si>
    <t>установка насоса</t>
  </si>
  <si>
    <t>труба 100- 2,5м  фасолн части-2</t>
  </si>
  <si>
    <t>труба 15-0,5м   фасон.части-2</t>
  </si>
  <si>
    <t>кран 20-1  кран 15-1</t>
  </si>
  <si>
    <t>труба 20-2м       фасон.части-5 шт</t>
  </si>
  <si>
    <t xml:space="preserve">труба 57-2.6м       </t>
  </si>
  <si>
    <t xml:space="preserve">9 120
2 352   </t>
  </si>
  <si>
    <t>хВС труба м/плас -3м</t>
  </si>
  <si>
    <t>ремонт цоколя</t>
  </si>
  <si>
    <t>ремонт шифеной кровли</t>
  </si>
  <si>
    <t>ремонт шиферной кровли</t>
  </si>
  <si>
    <t>кровля кв.20.34,35.47,49   кровля кв.88.102</t>
  </si>
  <si>
    <t>2920    5570</t>
  </si>
  <si>
    <t>задвижка-2 шт     труба 89-5.2м</t>
  </si>
  <si>
    <t xml:space="preserve">труба100-1м     </t>
  </si>
  <si>
    <t>ХВС задвижка-1</t>
  </si>
  <si>
    <t>труба 32-2.5м      вент-1</t>
  </si>
  <si>
    <t>восстанов. Освещения подъезд №1,2.3</t>
  </si>
  <si>
    <t>труба 100-4,75   переход-1       компенсат.-1     муфтв -1       тройник-1        труба 100-1    фас.части-2</t>
  </si>
  <si>
    <t>7497    2953</t>
  </si>
  <si>
    <t xml:space="preserve">крыльцоподъезд №2    козырек подъезд №2 </t>
  </si>
  <si>
    <t>2328    1549</t>
  </si>
  <si>
    <t>труба 15-27       вент-3    сгон-6</t>
  </si>
  <si>
    <t>ремонт цоколя и отмостки</t>
  </si>
  <si>
    <t>труба 15-10 м      труба 15-1.5 м</t>
  </si>
  <si>
    <t>крыльцо №5</t>
  </si>
  <si>
    <t xml:space="preserve">труб.20-2.5м   труба 20-вентель 20-9   вентель 25-9   труб.15-4 труб. 25-4  труб.20-2  </t>
  </si>
  <si>
    <t>труба 57-1м</t>
  </si>
  <si>
    <t>ремонт спуска в подвал №3</t>
  </si>
  <si>
    <t>труб.20-2   труб.25-1м       труб-20-1 м</t>
  </si>
  <si>
    <t>крыльцо№2    козырек №2</t>
  </si>
  <si>
    <t>ГВС труба 20-8м</t>
  </si>
  <si>
    <t xml:space="preserve">ГВС труба 32-4м          </t>
  </si>
  <si>
    <t>ХВС труюа 20-8м</t>
  </si>
  <si>
    <t xml:space="preserve">ХВС труба 57-6м    </t>
  </si>
  <si>
    <t>устан.ветил.</t>
  </si>
  <si>
    <t>установка светильн-3шт</t>
  </si>
  <si>
    <t>кровля кв.104   кровля кв.13.57</t>
  </si>
  <si>
    <t>устан.прожетора-4шт</t>
  </si>
  <si>
    <t>труба 100-3,5м</t>
  </si>
  <si>
    <t xml:space="preserve">установка прожектора- 4 шт         </t>
  </si>
  <si>
    <t>установка прожектора-2шт</t>
  </si>
  <si>
    <t>установка прожектора-2 шт    установка светильника-1шт</t>
  </si>
  <si>
    <t>труба 100-8,75м  фасон.части -5 шт</t>
  </si>
  <si>
    <t>труба 100-6,75м фасон.части-  12 шт</t>
  </si>
  <si>
    <t>труба 100-2м   фасон.части- 4 шт</t>
  </si>
  <si>
    <t>6666    3928</t>
  </si>
  <si>
    <t>ремонт цоколя-66 кв.м.</t>
  </si>
  <si>
    <t>частичный ремонт цоколя-105 кв.м</t>
  </si>
  <si>
    <t>покраска цоколя</t>
  </si>
  <si>
    <t>24532    6731</t>
  </si>
  <si>
    <t>труба 76-69м      труба 20-4м      труба57-18м      кран15-5шт      кран20-4шт     труба25-2м      труба20-2м</t>
  </si>
  <si>
    <t xml:space="preserve">труба 20-10м
кран 20-6шт     </t>
  </si>
  <si>
    <t xml:space="preserve">3 920
1 896     </t>
  </si>
  <si>
    <t>10441   3979</t>
  </si>
  <si>
    <t>труба100-3,5м   ф.ч.-6шт</t>
  </si>
  <si>
    <t>труб.76-4 труб.57-3,5     труб.20-6 вент.-20-1  труба20-3,5м     ф.ч.-3шт</t>
  </si>
  <si>
    <t>труба15-9м       труба57-5м</t>
  </si>
  <si>
    <t>насос-1  труба25-1м       труба20-8м       ф.ч.-14шт</t>
  </si>
  <si>
    <t>ревизия-1    манжет -1      отвод -1        муфта - 1      труба20-4м    труба100-7,5м</t>
  </si>
  <si>
    <t>труб.20-2       задв-2    труба76-1м       труба57-2м     кран20-1  кран57-2шт</t>
  </si>
  <si>
    <t xml:space="preserve">труб.20-4   труба25-1 кран15-8  кран20-8  </t>
  </si>
  <si>
    <t>труба25-12       кран20-3  ф.ч.-17   отвод25-6</t>
  </si>
  <si>
    <t>ГВС труба25-4м       фас.ч.-2шт</t>
  </si>
  <si>
    <t>заделка межпан.швов</t>
  </si>
  <si>
    <t>труб.25-1  труб.20-5,5     вент.20-2 сгон-1   труба 89-1м      труба 15-2.5м     труба 20-2 м        труба90-1,5</t>
  </si>
  <si>
    <t>насос-1   труба25-6м       отвод-7шт  труба32-2шт     кран50-1шт     труба15-3 отвод15-2</t>
  </si>
  <si>
    <t>труба15-3м</t>
  </si>
  <si>
    <t>труба40-1.5м  кран15-1  отвод57-1</t>
  </si>
  <si>
    <t xml:space="preserve">ХВС труба 15-6м      кран15-2    </t>
  </si>
  <si>
    <t>14528     2940</t>
  </si>
  <si>
    <t>труб. 20-5 вентель-3 сгоны-5  труба 20-2 сгон -5  труб.20-5 вент.20-3  сгоны - 5  труба25-2м.    Фас.части-5шт</t>
  </si>
  <si>
    <t>козырек № 2.3,4</t>
  </si>
  <si>
    <t>ГВС труба 57-13 м     ГВС труба 20-1 м       ГВС труба25-5м        ГВС труба20-1м       фасон.части-10шт</t>
  </si>
  <si>
    <t>ХВС труба д.25- 3м  вентель 25-2            ХВС труба 20-2      сгоны-2                   труба 15-8м          труба15-6м          труба20-1м          кран15-             труба25-5м           труба20-1м           фасон.части-10шт</t>
  </si>
  <si>
    <t xml:space="preserve">труб.57-1  труба 0,6м труба20-3  фас.ч.-14   труба25-2м       фас.ч.-9   </t>
  </si>
  <si>
    <t xml:space="preserve">   </t>
  </si>
  <si>
    <t>труба 100-3м    фас.ч.-1       труба100-1</t>
  </si>
  <si>
    <t>ремонтспуска навеса в подвал№2</t>
  </si>
  <si>
    <t>замена цирк.насоса</t>
  </si>
  <si>
    <t>кровля-15.кв.м. ремонт навеса в подвал1,2</t>
  </si>
  <si>
    <t>замена задвижки</t>
  </si>
  <si>
    <t>труб.20-3  труб.20-10труба32-16       труба20-12       труба25-9  фас.ч.-41</t>
  </si>
  <si>
    <t xml:space="preserve">труб.76-1.5м     труб 20-4 труб 20-2  труба57-2,5  труьа15-1 </t>
  </si>
  <si>
    <t>подъезд№3,№1</t>
  </si>
  <si>
    <t>труб.20-2ьт  труба20-8м       труба25-4  фас.ч.-27</t>
  </si>
  <si>
    <t>труба25-4м, фас.ч.-2</t>
  </si>
  <si>
    <t>труба100-2,5см</t>
  </si>
  <si>
    <t>труба 57-15м     труба 76-17м      труба 89-0,5м     труба 20-4.1м     труба25-2  ф.ч.-6шт   труба25-1м       ф.ч.-5шт</t>
  </si>
  <si>
    <t>труба100-3м</t>
  </si>
  <si>
    <t>ХВС труба20-2.5м    кран20-4шт</t>
  </si>
  <si>
    <t>труба20-1,5м        кран15-1   труба20-6м    кран20-8шт       кран15-8шт      труба57-3,5м      труба15-1,5м</t>
  </si>
  <si>
    <t>ХВС труба 20-0,5м     вентиль-1                  хВС труба 5-4м         вентель-4              труба57-5м           труцба25-1м          кран25-1шт</t>
  </si>
  <si>
    <t>труба20-20м      кран20-3шт      фас.ч.-15шт</t>
  </si>
  <si>
    <t>ХВЧС труба20-1м       кран20-1шт</t>
  </si>
  <si>
    <t>труб.25-6 труб20-8  труб.20-1.5 м    труб.25-4   труба20-9м       отвод25-3шт</t>
  </si>
  <si>
    <t>труба25-16м       фас.ч.-15шт</t>
  </si>
  <si>
    <t xml:space="preserve">труба110-1,25м   труба50-4,5м     фас.ч.-6шт   </t>
  </si>
  <si>
    <t xml:space="preserve">14 624
10 976
4 560      </t>
  </si>
  <si>
    <t xml:space="preserve">труба 15-32м
труба 20-28м
труба 57-6м       </t>
  </si>
  <si>
    <t>труба 100-5,75м муфта-1      ревизия 100-1   тройник-2       труба100-3,5м</t>
  </si>
  <si>
    <t>9287      3231</t>
  </si>
  <si>
    <t>труба20-2м       труба25-32м      фас.ч.-26шт</t>
  </si>
  <si>
    <t xml:space="preserve">                                труб.57-3   труба25-4м       фас.ч.-12шт</t>
  </si>
  <si>
    <t>подъезд №4</t>
  </si>
  <si>
    <t>труба25-1м</t>
  </si>
  <si>
    <t>ГВС,ХВС             труба25-8м             фас.ч.-6шт</t>
  </si>
  <si>
    <t>труб.20-8  труба76-0,5м      труба89-0,5       труба20-</t>
  </si>
  <si>
    <t>труба50-1,25м</t>
  </si>
  <si>
    <t>труба25-2м        фас.ч.-4шт</t>
  </si>
  <si>
    <t>труба25-1,5м      труба40-1,5       труба25-8м       ф.части-14шт</t>
  </si>
  <si>
    <t>труба20-1м      фас.ч.-8шт</t>
  </si>
  <si>
    <t>труба100-2м</t>
  </si>
  <si>
    <t>труба20-10м      краны-11шт     замена насоса</t>
  </si>
  <si>
    <t>труба20-6м</t>
  </si>
  <si>
    <t>труба100-4м</t>
  </si>
  <si>
    <t>труба20-2м       труба25-20м</t>
  </si>
  <si>
    <t>труб.40-6     труб.-20-8.5  вентель 20-40          труба20-1м               кран20-2шт</t>
  </si>
  <si>
    <t>Установка светильников с датчиком движения под.№1,2</t>
  </si>
  <si>
    <t>установка светильников и прожекторов</t>
  </si>
  <si>
    <t>сумма руб.</t>
  </si>
  <si>
    <t>труба 100-4м  фас.часть 7шт</t>
  </si>
  <si>
    <t>ГВС. Труба 32мм-1м, труба 20мм-2м, кран 20мм-1шт</t>
  </si>
  <si>
    <t>патрон подвесной Е27-2шт, светильник -1шт, труба винилопластиковая -9,5м, провод АВВГ, 2*4мм -10м</t>
  </si>
  <si>
    <t>труба 100-4м, фас.части -7шт</t>
  </si>
  <si>
    <t>чердак, подъез 4. труба 20-2м, кран 20-1шт</t>
  </si>
  <si>
    <t>кв 17-21. труба 20-8м, фас.ч-7шт. кв 14. труба 20-8м, фас.ч-4шт, кран 20-1шт</t>
  </si>
  <si>
    <t>труба 100-2,5м</t>
  </si>
  <si>
    <t>труб.25-1  труб.25-2 ТРУБ.15-9  труб.20-16 труб.25-12  труб 32-9  тру.40-30 труба 40-5,5м</t>
  </si>
  <si>
    <t>труба 100-5м, фас.ч -9шт</t>
  </si>
  <si>
    <t>540        884      22381     3971</t>
  </si>
  <si>
    <t>ремонт козырька подъезд №3</t>
  </si>
  <si>
    <t>Датчик день/ночь, 1 светильник -4шт, фото-реле 4шт, труба ПВХ 16мм -16м, провод ВВГ -16м</t>
  </si>
  <si>
    <t>Установка снегозадержателей</t>
  </si>
  <si>
    <t>труба25-6м         труба20-1м   насос циркуляцион. 32/80</t>
  </si>
  <si>
    <t>ТУ. Розетка 2-х поз.</t>
  </si>
  <si>
    <t>прожектор светодиодный 20Вт -1шт, труба ПВХ 16-4м, провод ВВг, 3*15 -16м</t>
  </si>
  <si>
    <t>подъезд№4. прожектор светодиодный 20Вт -1шт</t>
  </si>
  <si>
    <t>лампа светодиодная  6Вт -4шт, выключатель наружный -1шт</t>
  </si>
  <si>
    <t>лампа светодиодная  6Вт -1шт, патрон подвесной Е27 -1шт</t>
  </si>
  <si>
    <t>подвал. Замена кабеля АВВГ,2*4 мм2 -25м</t>
  </si>
  <si>
    <t>прожектр светодиодный 20 Вт -2шт, труба ПВХ 16 -8м, провод АВВГ, 2*4мм2 -8м</t>
  </si>
  <si>
    <t>подъезд №2. провод АВВГ, 2*4мм2 -8м</t>
  </si>
  <si>
    <t>устан. прожекторов на фасад здания-1шт</t>
  </si>
  <si>
    <t>устан. энерго-эффект. ламп-15шт</t>
  </si>
  <si>
    <t>установка энерго-эффект ламп-14 шт, прожектор светодиодный 20Вт -2шт, прожектор светодиодный 35Вт -1шт, труба ПВХ 16-16м, провод АВВГ, 2*4мм2 -16м</t>
  </si>
  <si>
    <t xml:space="preserve">светильник ЖКО-04 -1шт </t>
  </si>
  <si>
    <t>устан. энерго-эффект. ламп-18шт</t>
  </si>
  <si>
    <t>устан. прожекторов на фасад здания-2шт</t>
  </si>
  <si>
    <t>ремонт подвального освещения</t>
  </si>
  <si>
    <t>устан. энерго-эффект. ламп-30шт</t>
  </si>
  <si>
    <t>устан. прожекторов на фасад здания-4шт</t>
  </si>
  <si>
    <t>устан. энерго-эффект. ламп-24шт</t>
  </si>
  <si>
    <t>труба 20-2м, труба 89-1м, труба 20-6м</t>
  </si>
  <si>
    <t>устан. энерго-эффект. ламп-10шт</t>
  </si>
  <si>
    <t>частичный ремонт цоколя-20м2</t>
  </si>
  <si>
    <t>устан. энерго-эффект. ламп-8шт</t>
  </si>
  <si>
    <t>устан. энерго-эффект. ламп-12шт</t>
  </si>
  <si>
    <t>частичный ремонт цоколя-10м2</t>
  </si>
  <si>
    <t>замена патронов в подъездах-20шт</t>
  </si>
  <si>
    <t>устан. прожекторов на фасад здания-3шт</t>
  </si>
  <si>
    <t>ХВС.  труба20-4м, труба25-2, фас.ч.-13шт</t>
  </si>
  <si>
    <t>труба25-42м, труба20-4,5м, кран-2шт, фас.ч.-31шт</t>
  </si>
  <si>
    <t>устан. энерго-эффект. ламп-16шт</t>
  </si>
  <si>
    <t>устан. прожектор-2 шт</t>
  </si>
  <si>
    <t>заделка межпанельных швов-200м</t>
  </si>
  <si>
    <t>изоляция системы. Подвал - труба 57-9м, отвод 57-1шт, кран 20-1шт</t>
  </si>
  <si>
    <t>труба 20-4м, труба 15-1м, труба15-1м, замена насоса-1шт. Кв№18 труба 20-1м</t>
  </si>
  <si>
    <t>устан. автоматич. выкл. в этажный щит-8шт</t>
  </si>
  <si>
    <t>устан. энерго-эффект. ламп-20шт</t>
  </si>
  <si>
    <t>частичный ремонт кровли-20м2</t>
  </si>
  <si>
    <t>ремонт подъездов №1,2,3,4,5</t>
  </si>
  <si>
    <t>подъезд №6, подъзд №7, подъезд №8, подъезд №2, подъезд№1</t>
  </si>
  <si>
    <t xml:space="preserve">труб 89-7, труб 57-3,5, труб.20-1, труб 15-1, труб.20-2, труб 89 -7, труб57-3,5, труб20-1, труб.15-1, труба-25-1м, фас.части-5шт, труба 89-5.1м, труба89-8.1м, труба 76-3,5м, труба25-1м, труба 20-3м, труба20-3,3м, кран20-1шт, кран15-2шт  </t>
  </si>
  <si>
    <t>устан. энерго-эффект. ламп-60шт</t>
  </si>
  <si>
    <t>задвижка-1шт, труба20-8,1м, кран-15шт</t>
  </si>
  <si>
    <t xml:space="preserve">ремонт лестничного марша придомовой тер-ри №1,2,3,4  </t>
  </si>
  <si>
    <t>ремонт подъездов №3,4,5,6,7,8</t>
  </si>
  <si>
    <t>заделка межпанельных швов-250м</t>
  </si>
  <si>
    <t>частичный ремонт кровли-50м2</t>
  </si>
  <si>
    <t>ремонт козырьков над входом в подъезд №3,4</t>
  </si>
  <si>
    <t>ремонт козырьков над входом в подъезд №1,3,5</t>
  </si>
  <si>
    <t>устан. энерго-эффект. ламп-50шт</t>
  </si>
  <si>
    <t>замена шиферной кровли навесов спусков в подвал 1,2 под.
-22м2</t>
  </si>
  <si>
    <t>ремонт кровли навесов спуска в подвал-10м2</t>
  </si>
  <si>
    <t>частичный ремонт цоколя-150м2</t>
  </si>
  <si>
    <t>частичный ремонт кровли</t>
  </si>
  <si>
    <t>ремонт плит перекрытия над лоджиями-12м2</t>
  </si>
  <si>
    <t>частичный ремонт кровли-200м2</t>
  </si>
  <si>
    <t>ремонт крылец 1,3,6 под.</t>
  </si>
  <si>
    <t>покраска входной группы дверей-15м2</t>
  </si>
  <si>
    <t xml:space="preserve">ГВС труба 20-14м, вентель 20-21шт, ГВС труба32-7м, кран32-2шт, кран15-2шт </t>
  </si>
  <si>
    <t>кран 20-16шт, кран 15-16шт</t>
  </si>
  <si>
    <t>частичный ремонт отмостки-10м2</t>
  </si>
  <si>
    <t>частичный ремонт кровли-100м2</t>
  </si>
  <si>
    <t>устан.  прожектора-4шт</t>
  </si>
  <si>
    <t>частичный ремонт кровли-120м2</t>
  </si>
  <si>
    <t>частичный ремонт цоколя-100м2</t>
  </si>
  <si>
    <t>ремонт подъездов №1,2,3</t>
  </si>
  <si>
    <t>ремонт крыльца 1,3 под.</t>
  </si>
  <si>
    <t>ремонт козырьков над входом в подъезд №1,3</t>
  </si>
  <si>
    <t>ремонт крыльца 2,4 под.</t>
  </si>
  <si>
    <t>устан. энерго-эффект. ламп-22шт</t>
  </si>
  <si>
    <t>устан. устройства снегозадерж.-12м</t>
  </si>
  <si>
    <t>устан. устройства снегозадерж.-30м</t>
  </si>
  <si>
    <t>частичный ремонт цоколя-120м2</t>
  </si>
  <si>
    <t>кв№47. труба15-1м, кран15-1шт</t>
  </si>
  <si>
    <t>подвал под№1. труба 57-1м, труба 32-5м, отвод 57-1шт</t>
  </si>
  <si>
    <t>труба 20-1,5м, кран 15-1, труба 20-6м, кран 20-8шт, кран 15-8шт, труба 57-3,5м, труба 15-1,5м. Подвал. Труба 15-6м, кран 15-1шт</t>
  </si>
  <si>
    <t>1639    3569</t>
  </si>
  <si>
    <t>кран 20-2шт, кран 15-4 шт. подъезд №3 труба 57-4м, труба 15-1,5м</t>
  </si>
  <si>
    <t>прожектор светодиодный 20Вт-4шт, труба ПВХ 16-20м, провод АВВГ,2*4мм2 -20м</t>
  </si>
  <si>
    <t>светильник с датч движ -6шт, светильник Раунд -1шт, лампа светодиодная 6Вт-7шт</t>
  </si>
  <si>
    <t>устан. энерго-эффект. ламп-32шт</t>
  </si>
  <si>
    <t>автомат ВА 47-100 Зп 100а-1шт</t>
  </si>
  <si>
    <t>ГВС. ТУ. Труба 32-2м, отвод 32-4шт. Подвал№2. труба 57-2,5м, кран 20-1шт. Кв№27-28. труба ппр20-20м, фас.ч-34шт</t>
  </si>
  <si>
    <t>изготовление и установка металлических конструкций</t>
  </si>
  <si>
    <t>труба25-2, муфта-4, труба20-6, труба25-52, труба15-6м. Кв№25 труба ппр20-6м, фас.ч-24шт</t>
  </si>
  <si>
    <t>труба20-1,5м, кран20-4шт. Труба ппр25-8м, кран 15-2шт, фас.ч-12шт</t>
  </si>
  <si>
    <t>подъезд №3</t>
  </si>
  <si>
    <t>подъезд №3,4</t>
  </si>
  <si>
    <t>труба57-3,5м, труба5-1.5м. Кв84. труба 20-1,5м, фас.ч -3шт</t>
  </si>
  <si>
    <t>подвал. Труба 100-30м, фас.ч-31</t>
  </si>
  <si>
    <t>подвал, кв113,39,67,106,124. труба 57-7м, труба 20-4м, труба 15-0,5м, фас.ч- 7шт, кран 20-6шт, кран 15-7шт</t>
  </si>
  <si>
    <t>подъезд№6. труба 57-3м, труба 15-4м, фас.ч -3шт, труба ппр 20-2м, фас.ч -14шт</t>
  </si>
  <si>
    <t>подъезд№3. труба 57-4м, труба 15-3м</t>
  </si>
  <si>
    <t>трубка из вспененного полиэтилена 57-102м, трубка из вспененного полиэтилена 20-110м</t>
  </si>
  <si>
    <t>кв45. труба 100-1,5м, фас.ч -6шт</t>
  </si>
  <si>
    <t xml:space="preserve">ГВС. труба 20-11м, сгоны-8, кран 20-4шт, кран-15-4шт. </t>
  </si>
  <si>
    <t>устан. автомат. выкл. на освещение подъездов и подвалов-5шт</t>
  </si>
  <si>
    <t>подъезд №1, №2, №3</t>
  </si>
  <si>
    <t>насос циркуляцион -1шт</t>
  </si>
  <si>
    <t>ХВС, ГВС кв35,39, аптека. Труба ппр20-24м, фас.ч-72шт</t>
  </si>
  <si>
    <t>подъезд №2,3. труба 57-6м, труба 20-2. кв5-9. труба ппр 25-4м, труба ппр 20-4м, фас.ч -5шт</t>
  </si>
  <si>
    <t>замена цирк. насоса</t>
  </si>
  <si>
    <t>подвал №1,2. труба 25-3м, трубки из вспененного полиэтилена 57-22м, трубки из вспененного полиэтилена 20-10м</t>
  </si>
  <si>
    <t>труба-100-3м, тройник-1 шт, реизия 100-2, отвод -4, патрубок -2, труба100-1,5, патрубок-1, переход-1</t>
  </si>
  <si>
    <t>ремонт кровли кв74</t>
  </si>
  <si>
    <t>ТУ. Труба 89-3м, труба 40-1м, отвод 32-1шт. Кв14. труба 20-1,5м. Кв61. труба ппр 25-4м, труба ппр 20-1м, фур.ч-10шт</t>
  </si>
  <si>
    <t>ГВС, ХВС кв26. труба ппр 25-8м, фас.ч-14шт, кран 20-2шт</t>
  </si>
  <si>
    <t>установка   светильников-2, светильник ЖКО-04 -10шт, лампа светодиодная -11шт</t>
  </si>
  <si>
    <t>частичный ремонт штукатурки стены 2 под.
-5м2</t>
  </si>
  <si>
    <t>частичный ремонт отмостки-4м2</t>
  </si>
  <si>
    <t>устан. энерго-эффект. ламп-28шт</t>
  </si>
  <si>
    <t>ремонт кровли навесов спуска в подвал №1,№2
-22м2</t>
  </si>
  <si>
    <t>замена вводного рубильника с устан. защит. автоматов -1шт</t>
  </si>
  <si>
    <t>замена патронов в подъездах-15шт</t>
  </si>
  <si>
    <t>устан. автомат. выкл. на освещение подъездов и подвалов-16шт</t>
  </si>
  <si>
    <t>устан. автомат. выкл. на освещение подъездов и подвалов-20шт</t>
  </si>
  <si>
    <t>замена кабельного ввода м/у эт. с устан. автомат. выкл. в этаж. щитах-12шт</t>
  </si>
  <si>
    <t>устан.автомат. выкл. на освещение подъездов и подвалов-20шт</t>
  </si>
  <si>
    <t>ремонт кровли навесов спуска в подвал №1,№2-22м2</t>
  </si>
  <si>
    <t>частичный ремонт кровли-6м2</t>
  </si>
  <si>
    <t>частичный ремонт кровли-70м2</t>
  </si>
  <si>
    <t>ремонт подступей входа в подвал №2-0,2м2</t>
  </si>
  <si>
    <t>частичный ремонт отмостки-5м2</t>
  </si>
  <si>
    <t>частичный ремонт отмостки-6м2</t>
  </si>
  <si>
    <t>частичный ремонт цоколя-180м2</t>
  </si>
  <si>
    <t>частичный ремонт цоколя-50м2</t>
  </si>
  <si>
    <t>труба 100-16м труба 50-10м</t>
  </si>
  <si>
    <t>труба 20-6м, труба 25-9м, труба 32-8м, труба 40-6м</t>
  </si>
  <si>
    <t>труба20-4,5м, труба15-2.5, труба57-3м</t>
  </si>
  <si>
    <t>кран 20-10шт, кран 15-10шт</t>
  </si>
  <si>
    <t>кран 20-10шт, кран 15-8шт</t>
  </si>
  <si>
    <t>кран 20-12шт, кран 15-12шт</t>
  </si>
  <si>
    <t>кран 20-24шт, кран 15-24шт</t>
  </si>
  <si>
    <t>кран 20-4шт, кран 15-4шт</t>
  </si>
  <si>
    <t>кран 20-6шт, кран 15-6шт</t>
  </si>
  <si>
    <t>кран 20-8шт, кран 15-8шт</t>
  </si>
  <si>
    <t>кран 25-6шт, кран 20-6шт</t>
  </si>
  <si>
    <t>труба 15-10м, труба 20-6м, труба 25-6м, труба 32-9м</t>
  </si>
  <si>
    <t>труба20-3м, труба40-м, труба1501м</t>
  </si>
  <si>
    <t>труба 100-8м, переход-2, павтрубок -2, тройник -3, ревизия-2, манжта-1, отвод-8, копани ям-1,92, задвижка в ТУ</t>
  </si>
  <si>
    <t>труба 15-12м, труба 20-14м</t>
  </si>
  <si>
    <t>труба 15-12м, труба 20-6м, труба 57-19м</t>
  </si>
  <si>
    <t>труба 15-12м, труба 20-9м</t>
  </si>
  <si>
    <t>труба 15-16м, труба 20-19м, труба 57-27м, труба 76-9м</t>
  </si>
  <si>
    <t>труба 15-16м, труба 20-24м, труба 57-12м</t>
  </si>
  <si>
    <t>труба 15-18м, труба 20-13м, труба 40-26м, труба 57-18м</t>
  </si>
  <si>
    <t xml:space="preserve">труб25-5м, труб20-2.5м, труб5-1 м, труба25-3, муфта-2, труба76-2,7     </t>
  </si>
  <si>
    <t>труба 15-18м, труба 20-32м, труба 25-16м</t>
  </si>
  <si>
    <t>ТУ-1, труб.20-6, вент.20-1, труб.57-3, труб20-1, кран15-1, отвод20-3</t>
  </si>
  <si>
    <t>ГВС труба 25 -2 м, труба25-18м, фас.части-24шт, вентель25-2, отвод20-10</t>
  </si>
  <si>
    <t>труба 15-18м, труба 20-32м, труба 57-28м, труба 76-9м</t>
  </si>
  <si>
    <t xml:space="preserve">труб.57-3, труб.15-2, вент.20-2 </t>
  </si>
  <si>
    <t>труба 15-20м, труба 20-16м</t>
  </si>
  <si>
    <t>труба 15-20м, труба 20-18м, труба 25-20м</t>
  </si>
  <si>
    <t>труба 15-20м, труба 20-24м, труба 57-30м, труба 76-12м</t>
  </si>
  <si>
    <t>труба 15-20м, труба 20-24м, труба 57-60м. кв.31.ТУ</t>
  </si>
  <si>
    <t>труб 89-2м, труб 76-1м, труб 25-3.5 м, труб 20-0.5М</t>
  </si>
  <si>
    <t xml:space="preserve">труба 15-20м, труба 20-25м, труба 25-8м, труба 57-18м, труба 76-12м     </t>
  </si>
  <si>
    <t>труба 15-24м, труба 20-18м, труба 57-32м</t>
  </si>
  <si>
    <t>труба 15-24м, труба 20-21м, труба 32-18м, труба 40-24м, труба 57-19м</t>
  </si>
  <si>
    <t>труба 15-24м, труба 20-28м</t>
  </si>
  <si>
    <t>труба 15-24м, труба 20-28м, труба 25-12м, труба 32-18м, труба 40-40м</t>
  </si>
  <si>
    <t>труба 15-24м, труба 20-28м, труба 32-22м, труба 57-18м, труба 76-9м</t>
  </si>
  <si>
    <t>труба 15-24м, труба 20-29м, труба 57-8м</t>
  </si>
  <si>
    <t>труба 15-24м, труба 20-30м,труба 57-28м</t>
  </si>
  <si>
    <t>труба 15-26м, труба 20-22м</t>
  </si>
  <si>
    <t>труба 15-26м, труба 20-28м, труба 25-10м</t>
  </si>
  <si>
    <t>труба 15-28м, труба 20-16м</t>
  </si>
  <si>
    <t>труба 15-28м, труба 20-27м, труба 25-30м, труба 32-28м, труба 40-32м, труба 57-26м</t>
  </si>
  <si>
    <t>труб.20-2.5 м, труб.20-3, вентель 20-9, вентель 25-9</t>
  </si>
  <si>
    <t>труба 15-28м, труба 20-28м</t>
  </si>
  <si>
    <t>труба 15-28м, труба 20-32м, труба 57-28м, труба 76-9м</t>
  </si>
  <si>
    <t>труба 15-28м, труба 20-36м, труба 57-24м, труба 76-12м</t>
  </si>
  <si>
    <t>труба 15-30м, труба 20-24м</t>
  </si>
  <si>
    <t>труба 15-30м, труба 20-24м, труба 57-38м</t>
  </si>
  <si>
    <t>труба 15-30м, труба 20-30м</t>
  </si>
  <si>
    <t>труба 15-30м, труба 20-42м, труба 57-29м, труба 76-8м</t>
  </si>
  <si>
    <t xml:space="preserve">труба 25-16 м, труба 20-2м, фасончасти-12, труда 20-1, фас.ч.-2, труба20-16м, фас.ч.-21, труба20-6м, кран20-2шт, фас.ч.-8шт </t>
  </si>
  <si>
    <t>ГВС. труба20-2м</t>
  </si>
  <si>
    <t>ГВС подвал.  ГВС труба-25- 1,5 м, ГВС 25-1, ГВС 20-6,5 м, фас.ч.-5</t>
  </si>
  <si>
    <t>ГВС труба 20-5м, ГВС труба 15-2.5м</t>
  </si>
  <si>
    <t>ГВС труба 20-4м, труба25-8м, кран5-4шт, кран20-2шт</t>
  </si>
  <si>
    <t>ГВС. труба 25-3,5 м, труба 20-1, вентель 20-4, вентель57-4, труба 20- 2.3м, ветнетль 20-3, сгон-3</t>
  </si>
  <si>
    <t>ГВС труба 25-4м, труба20-8м, фас.ч.-12шт</t>
  </si>
  <si>
    <t>ГВС труба 25-3,5м, труба20-3м, труба32-1м, труба25-4м, труба20-2,5</t>
  </si>
  <si>
    <t>термометр -2шт</t>
  </si>
  <si>
    <t>труба 100-7, труба 50-2.5, тройник-18, переход-5, ревизия 100-1, манжет-1, крестовина-1</t>
  </si>
  <si>
    <t xml:space="preserve">труба100-3м, труба50-1м    </t>
  </si>
  <si>
    <t>труб15-0,5,  вент-1, труб 57-1.5м, фас.части-1</t>
  </si>
  <si>
    <t>труба 100-1,5, переходние-1, патрубок-1, труб.100-2, переход-1, манжет-1, патрубок-1, труба 100-3м, труба 89-5м, тркбп 100-2, ф. ч.-4, труба100-3м, ф.ч.-3шт</t>
  </si>
  <si>
    <t>ГВС. труба 25-12м</t>
  </si>
  <si>
    <t>текущего ремонта жилых домов обслуживаемых ЗАО "ЖЭК" на 2017 год</t>
  </si>
  <si>
    <t xml:space="preserve">                                            </t>
  </si>
  <si>
    <t>Утверждаю</t>
  </si>
  <si>
    <t xml:space="preserve">                    </t>
  </si>
  <si>
    <t>Генеральный директор ЗАО "ЖЭК"</t>
  </si>
  <si>
    <t xml:space="preserve">    </t>
  </si>
  <si>
    <t xml:space="preserve"> ____________________С.В.Трухменев</t>
  </si>
  <si>
    <t>труба 100-23,5м, переход-4, тройник-4, ревизия -3, манжета-1, отвод-20, копка ям-2,56, труба100-10м, труба110-0,15м, фас.час-8шт</t>
  </si>
  <si>
    <t>труба 100-7 м, тройник-2, переход -2, патрубок-1, ревизия-1, манжта-1, труба 100-6,5, переход.110-3, патрубок -1, манжет -4</t>
  </si>
  <si>
    <t>труба 100-2, ревизия-1, переходник -1, манжет -1,  труба 50-2, переход-1, манжет-1, патрубок -1</t>
  </si>
  <si>
    <t>труба32-12м,труба57-3.2м, кран32-16 шт, кран20-14шт, кран15-16шт, труба20-2м</t>
  </si>
  <si>
    <t>тройник-1, муфта-2, отвод-1, заглушка-3, труба 100-1,5, труба25-1м, фас.ч-6шт</t>
  </si>
  <si>
    <t>труба 100-6 м, переход-2, тройник -1, манжет -2, патрубок -2, труба100-2м, ф.ч.-3м</t>
  </si>
  <si>
    <t>труб.20-4, вент. 20-2, вент 15-2,  вен.20-1,  труба15-3м, труба32-6м, кран2-5шт, труба20-3м</t>
  </si>
  <si>
    <t>ХВС труба 25-6м, ХВС кран 25-4шт</t>
  </si>
  <si>
    <t>ГВС труба 25-10м, ГВС кран 25-10шт</t>
  </si>
  <si>
    <t>труба 89-5.2, вент-2, труба25-13.5м, труба57-8м, труба20-6,5, труба89-1м, кран 50-8шт, кран 25-4шт, кран20-22 шт, кран15-24 шт, труба20-0,8, задвижка-2, труба25-4м, фас.ч.-15шт</t>
  </si>
  <si>
    <t>КНС кв.72,74 труба 100-8м, фас.ч-4 шт КНС кв.54 труба 100-1.5 м, фас.ч- 4 шт</t>
  </si>
  <si>
    <t>труба 89-6м, труба 57-8м, труба 20-8м</t>
  </si>
  <si>
    <t>ГВС труба 57-8м, труба 20-6м, кран 20-6шт</t>
  </si>
  <si>
    <t>ХВС труба 89-6м, труба 25-6м, кран 25-4шт</t>
  </si>
  <si>
    <t>труба 57-10м, труба 20-10м</t>
  </si>
  <si>
    <t>ХВС труба 76-12м, труба 25-6м, кран 25-10шт</t>
  </si>
  <si>
    <t>ХВС. труба 25-1,5м, вентель 25-3шт, труба 32-2м, вентель 25-1шт, задвижка 57-2шт, труба 25-1м, вентель -1шт</t>
  </si>
  <si>
    <t>__________________________20___ г.</t>
  </si>
  <si>
    <t>ремонт крыльца 2 под</t>
  </si>
  <si>
    <t>ремонт козырька</t>
  </si>
  <si>
    <t>труба 100-8м, фас.ч-5шт</t>
  </si>
  <si>
    <t>3352      1986</t>
  </si>
  <si>
    <t>труба 20-1м, кран 1шт</t>
  </si>
  <si>
    <t>подъезд №1,2,4, малые формы</t>
  </si>
  <si>
    <t>подъезд №1,2</t>
  </si>
  <si>
    <t>11269   63910</t>
  </si>
  <si>
    <t>мал. Форм</t>
  </si>
  <si>
    <t>7850         1117</t>
  </si>
  <si>
    <t>4835         2633</t>
  </si>
  <si>
    <t>отмостка</t>
  </si>
  <si>
    <t>труба 15-3м</t>
  </si>
  <si>
    <t>ГВС труба 57-2м, труба 25-3м, изоляц 32м</t>
  </si>
  <si>
    <t>ремонтспуска навеса в подвал№1,2</t>
  </si>
  <si>
    <t>ремонт крыльца</t>
  </si>
  <si>
    <t>6138        10055</t>
  </si>
  <si>
    <t>ремонт кровли подъезд №2, кв14,75</t>
  </si>
  <si>
    <t>5377   10346</t>
  </si>
  <si>
    <t>8875        2669</t>
  </si>
  <si>
    <t>ХВС. кв12,14,15,18,22. труба 25-12м, труба 20-1,5м</t>
  </si>
  <si>
    <t>ремонт крыльца под.№1,2,3</t>
  </si>
  <si>
    <t xml:space="preserve">замена цирк. насоса,труба40-1м, труба20-3м, кран20-5шт  </t>
  </si>
  <si>
    <t>27483       9047</t>
  </si>
  <si>
    <t>ХВС. Труба 25-5,5, труба 20-1, кран 25-1шт</t>
  </si>
  <si>
    <t>замена цирк насоса, труба 89-4, труба76-4.5, труба 57-10, труба25-2, труба 20-2, фа.ч.-12, труба20-3, труба15-1, труба57-2,75, кран20-12</t>
  </si>
  <si>
    <t>4297  4296   607   4148  5318</t>
  </si>
  <si>
    <t>труба 57-4шт, труба 25-8шт, труба 20-3,5м, кран 25-1шт, кран 20-3шт, кран 15-1шт</t>
  </si>
  <si>
    <t>2356           4833</t>
  </si>
  <si>
    <t>кв 14</t>
  </si>
  <si>
    <t>крзырек подъезд №2,3     ремонт под.№2,3</t>
  </si>
  <si>
    <t>1037   478     31822   31895</t>
  </si>
  <si>
    <t>26579      38812      30243</t>
  </si>
  <si>
    <t>подъезд №1,2,3</t>
  </si>
  <si>
    <t>27211  51715</t>
  </si>
  <si>
    <t>8437      16901     1568</t>
  </si>
  <si>
    <t>ремонт конька</t>
  </si>
  <si>
    <t>мал. формы</t>
  </si>
  <si>
    <t>8756         5185</t>
  </si>
  <si>
    <t>3869      10231</t>
  </si>
  <si>
    <t>3869        10988</t>
  </si>
  <si>
    <t>ремонт отмостки</t>
  </si>
  <si>
    <t>1830      1258</t>
  </si>
  <si>
    <t>установка светильников подъезд 1</t>
  </si>
  <si>
    <t>валка деревьев</t>
  </si>
  <si>
    <t>12792     19804</t>
  </si>
  <si>
    <t>2028    1045           1258</t>
  </si>
  <si>
    <t>предподъездное освещен.-под№ 2,3,4</t>
  </si>
  <si>
    <t>9879        4754</t>
  </si>
  <si>
    <t>труба 100-9м фас.ч-10шт</t>
  </si>
  <si>
    <t>2112       14485    16662    22319      34779</t>
  </si>
  <si>
    <t>2296        16663</t>
  </si>
  <si>
    <t>труба 57-3,5, труба 25-12м, труба 20-5</t>
  </si>
  <si>
    <t>ремонт откосов</t>
  </si>
  <si>
    <t>1673   26661    5046</t>
  </si>
  <si>
    <t>мал. форм.</t>
  </si>
  <si>
    <t>ГВС. Подвал. Труба 40-1м, труба 25-2,5м.</t>
  </si>
  <si>
    <t>ХВС. Кв24,27. Труба 20-4,5м</t>
  </si>
  <si>
    <t>5162        709</t>
  </si>
  <si>
    <t>окраска фасада</t>
  </si>
  <si>
    <t>рем козырька подъезд 3</t>
  </si>
  <si>
    <t>мал форм</t>
  </si>
  <si>
    <t>11778     4382</t>
  </si>
  <si>
    <t>замена патрона п№2</t>
  </si>
  <si>
    <t>замена патрона п№1</t>
  </si>
  <si>
    <t>736       998  1919</t>
  </si>
  <si>
    <t>труба1,5-1,5м, кран25-1шт, кран20-1шт, кран15-1шт,</t>
  </si>
  <si>
    <t>труба 32-2м, труба 20-2м, труба 15-4, кран 32-2шт, кран 20-3шт, замена насоса</t>
  </si>
  <si>
    <t xml:space="preserve">2010         5474     2067   4146   </t>
  </si>
  <si>
    <t>кран 20-3шт, труба 25-4м, трба 20-4м, труба 89-4м, кран 15-2шт, труба 40-1м, труба 15-2м</t>
  </si>
  <si>
    <t>1539    10078    37690   9140</t>
  </si>
  <si>
    <t>ГВС. труба 57-54м, труба 20-7,5м, труба 15-1м, кран 20-8шт</t>
  </si>
  <si>
    <t>ХВС. Кран 15-1шт, задвижка 100-1шт</t>
  </si>
  <si>
    <t>труба 100-5м, фас.ч-9шт</t>
  </si>
  <si>
    <t>подъездд 1,4 подъезд д2,3   рмонт козырька, крыльца</t>
  </si>
  <si>
    <t>83476  77156   5959         4363</t>
  </si>
  <si>
    <t>1524         1208</t>
  </si>
  <si>
    <t>замена светильника -1шт, замена ламп-11шт</t>
  </si>
  <si>
    <t>труба 100- 3м  фасолн части-2шт</t>
  </si>
  <si>
    <t>1088   11236     19400     1822    461</t>
  </si>
  <si>
    <t>ХВС. Кран 25-1шт</t>
  </si>
  <si>
    <t>ремонт под№1</t>
  </si>
  <si>
    <t>замена патрона, замена ламп</t>
  </si>
  <si>
    <t>2737    4289</t>
  </si>
  <si>
    <t>труба 100-3,5м, труба 50-0,25м, фас.ч-6шт</t>
  </si>
  <si>
    <t xml:space="preserve">4177    4854   4177   </t>
  </si>
  <si>
    <t>труба 20-8м, кран 25-4шт</t>
  </si>
  <si>
    <t>рем пола</t>
  </si>
  <si>
    <t>28720   433</t>
  </si>
  <si>
    <t>установка светильников по№1,2,3,4</t>
  </si>
  <si>
    <t>полы, козырек, мал форм</t>
  </si>
  <si>
    <t>2073        5894             19256</t>
  </si>
  <si>
    <t>5998      440</t>
  </si>
  <si>
    <t>ремон подъездов</t>
  </si>
  <si>
    <t>ГВС</t>
  </si>
  <si>
    <t>6668    219</t>
  </si>
  <si>
    <t>5117    2278     28822    13456</t>
  </si>
  <si>
    <t>рем кровли</t>
  </si>
  <si>
    <t>9320       220</t>
  </si>
  <si>
    <t>замена автоматов и выключателей</t>
  </si>
  <si>
    <t>ремонт подъездов</t>
  </si>
  <si>
    <t>ремон вент шахт</t>
  </si>
  <si>
    <t>831   1774</t>
  </si>
  <si>
    <t>ремонт пола и крыльца</t>
  </si>
  <si>
    <t>замена автоматов</t>
  </si>
  <si>
    <t>5108    5108</t>
  </si>
  <si>
    <t>ремонь кровли</t>
  </si>
  <si>
    <t>4355    1390    7667</t>
  </si>
  <si>
    <t>ремонт вент шахты</t>
  </si>
  <si>
    <t>ремонт фасада</t>
  </si>
  <si>
    <t>установка светильн.</t>
  </si>
  <si>
    <t>обрезка деревьев</t>
  </si>
  <si>
    <t>1162   4358</t>
  </si>
  <si>
    <t>ГВС, ХВС</t>
  </si>
  <si>
    <t>труба 20-3м</t>
  </si>
  <si>
    <t>изоляция 24м</t>
  </si>
  <si>
    <t>установка светильников, замена патрона</t>
  </si>
  <si>
    <t>ремонт крыльца, козырька</t>
  </si>
  <si>
    <t xml:space="preserve">2082    771 </t>
  </si>
  <si>
    <t>6332       6779</t>
  </si>
  <si>
    <t>ХВС</t>
  </si>
  <si>
    <t>установка светильников, смена патронов, выключателей</t>
  </si>
  <si>
    <t>смена ламп, выключателя</t>
  </si>
  <si>
    <t>ремонт подъезда</t>
  </si>
  <si>
    <t>труба 20-4,5м</t>
  </si>
  <si>
    <t>замена патрона</t>
  </si>
  <si>
    <t>2656    11607</t>
  </si>
  <si>
    <t>4686     944</t>
  </si>
  <si>
    <t>труба 100-1м</t>
  </si>
  <si>
    <t>3945    1364     3467</t>
  </si>
  <si>
    <t>замена выключателя, патрона</t>
  </si>
  <si>
    <t>204     587</t>
  </si>
  <si>
    <t>смена выключателя</t>
  </si>
  <si>
    <t>труба 100-2м</t>
  </si>
  <si>
    <t>3910    3801    2768</t>
  </si>
  <si>
    <t>труба 40-2,5м, труба 32-3,5м</t>
  </si>
  <si>
    <t>1322    28463</t>
  </si>
  <si>
    <t>21122    2163    5346</t>
  </si>
  <si>
    <t>труба 76-1,5м, труба 32-5м, труба 25-4м, труба 20-33м, труба 15-1м, кран 20-2шт, кран 15-1шт</t>
  </si>
  <si>
    <t xml:space="preserve">труба 100-12м, труба 50-3м, фас.ч-9шт   </t>
  </si>
  <si>
    <t>29978    53438</t>
  </si>
  <si>
    <t>67321   2549</t>
  </si>
  <si>
    <t>ремонт под№1,2,3</t>
  </si>
  <si>
    <t>установка светильника -1 шт</t>
  </si>
  <si>
    <t>4379    3755</t>
  </si>
  <si>
    <t>4632   2035   12606   1589  8944  2067</t>
  </si>
  <si>
    <t>труба 57-6м, 40-10м, 25-2м, 20-4м.кран 20-4шт, 15-2шт. задвижка 89-2шт</t>
  </si>
  <si>
    <t>труба 57-1м, кран 15-1шт</t>
  </si>
  <si>
    <t>21581,5       21581,5        7272     7272</t>
  </si>
  <si>
    <t>труба 100-2м     фас.ч-4шт</t>
  </si>
  <si>
    <t>рем токосов</t>
  </si>
  <si>
    <t>рем навес над вход в подв</t>
  </si>
  <si>
    <t>19461        8530</t>
  </si>
  <si>
    <t>труба 76-1,5м, 57-1м.</t>
  </si>
  <si>
    <t>труба 50-1,5м, фас.с -5шт</t>
  </si>
  <si>
    <t>выпиловка деревьев</t>
  </si>
  <si>
    <t>рем вент шахт</t>
  </si>
  <si>
    <t>1366   273</t>
  </si>
  <si>
    <t>устан светил -1шш, замена патрона 2шт</t>
  </si>
  <si>
    <t>рем цок</t>
  </si>
  <si>
    <t>задвижка 100-1шт</t>
  </si>
  <si>
    <t>устан.светил-6 шт</t>
  </si>
  <si>
    <t>устан розетки</t>
  </si>
  <si>
    <t>19849          6054</t>
  </si>
  <si>
    <t>рем конька</t>
  </si>
  <si>
    <t>828  2186   8557</t>
  </si>
  <si>
    <t>828   2186   8557</t>
  </si>
  <si>
    <t>101877     14284</t>
  </si>
  <si>
    <t>рем цоколя</t>
  </si>
  <si>
    <t>945       9395      17927     6006   5147</t>
  </si>
  <si>
    <t xml:space="preserve">ГВС.  </t>
  </si>
  <si>
    <t>3286  4922   3854   4162   6118   4941</t>
  </si>
  <si>
    <t>ремонт кровли навеса в подвал</t>
  </si>
  <si>
    <t>11500   17446</t>
  </si>
  <si>
    <t>79941   41883   44745  43904</t>
  </si>
  <si>
    <t>рем отлив</t>
  </si>
  <si>
    <t>3006    954   2629   73184     355   762    34218</t>
  </si>
  <si>
    <t>1130  7876   20351</t>
  </si>
  <si>
    <t>1102    14670   1313   755   7876    3900   15464</t>
  </si>
  <si>
    <t>рем подъезда</t>
  </si>
  <si>
    <t>мал форм, рем штук навесов</t>
  </si>
  <si>
    <t>46995   23030     14966</t>
  </si>
  <si>
    <t>4165      37879    3382</t>
  </si>
  <si>
    <t>подъезд №3,   №4    №5    №6    №7   №8, рем лестн марш</t>
  </si>
  <si>
    <t>40823     40167 41682 42674  42845 41847  2198</t>
  </si>
  <si>
    <t>983       3789   1413   6240      7082</t>
  </si>
  <si>
    <t>труб15-2  труба20-3м     труба57-1,5м      труба 25-3м   труба15-2м   труба20-1м,  кран20-2       кран15-2</t>
  </si>
  <si>
    <t>6909  13031  8660  2625</t>
  </si>
  <si>
    <t>рем подъезд</t>
  </si>
  <si>
    <t>3146     1753   3654  5746</t>
  </si>
  <si>
    <t>20284   22227</t>
  </si>
  <si>
    <t>1227   1562</t>
  </si>
  <si>
    <t>труба 25-2м, 20-3м. фасон.части-3 шт</t>
  </si>
  <si>
    <t>6946     4155   1048</t>
  </si>
  <si>
    <t>4705     23767   643</t>
  </si>
  <si>
    <t>25067   14539</t>
  </si>
  <si>
    <t>716       458       13656   2514   2179</t>
  </si>
  <si>
    <t xml:space="preserve">ХВС </t>
  </si>
  <si>
    <t>рем под, крыльца, козырька. мал форм</t>
  </si>
  <si>
    <t>3010  1239   1077</t>
  </si>
  <si>
    <t>установка светильников -2шт</t>
  </si>
  <si>
    <t>1185   46327     5111</t>
  </si>
  <si>
    <t>9312   42306    2721       1198</t>
  </si>
  <si>
    <t>4114    1432</t>
  </si>
  <si>
    <t>устан светил -2шт</t>
  </si>
  <si>
    <t>рем фасада</t>
  </si>
  <si>
    <t>2926   3785</t>
  </si>
  <si>
    <t>6047      3308</t>
  </si>
  <si>
    <t>1927      6024      1992</t>
  </si>
  <si>
    <t>7005   149</t>
  </si>
  <si>
    <t>установка  светил.-3, замена патрона -1шт</t>
  </si>
  <si>
    <t>рем подъездов</t>
  </si>
  <si>
    <t>7866   59606  442  661  5125</t>
  </si>
  <si>
    <t>460   1567</t>
  </si>
  <si>
    <t>339  6163  15100  787</t>
  </si>
  <si>
    <t>9870  21421  10356</t>
  </si>
  <si>
    <t>труба 100-21м, 50-0,25м. Фас.ч -26шт</t>
  </si>
  <si>
    <t>устан свет 3шт</t>
  </si>
  <si>
    <t>30666    4990</t>
  </si>
  <si>
    <t>рем козырька, лестн марш, мал форм</t>
  </si>
  <si>
    <t>3925  2240   1037</t>
  </si>
  <si>
    <t>труба 20-1,5м, кран 20-1шт, задвижка 100-1шт, 89-1шт. фас.ч-3шт</t>
  </si>
  <si>
    <t>11327  881</t>
  </si>
  <si>
    <t>1151  8836    7594   6086</t>
  </si>
  <si>
    <t>1371    4513    1780      8313   11469     6092</t>
  </si>
  <si>
    <t>труба 100-15,75м, фас.ч -22шт</t>
  </si>
  <si>
    <t>рем отмостки</t>
  </si>
  <si>
    <t>рем откосов</t>
  </si>
  <si>
    <t>рем козырьков, мал форм</t>
  </si>
  <si>
    <t>устан светил -шт</t>
  </si>
  <si>
    <t>760       11009      2413</t>
  </si>
  <si>
    <t>труба 100-3м, фас.ч -3шт</t>
  </si>
  <si>
    <t>ремонт кровли
-10м2   кровля кв.69</t>
  </si>
  <si>
    <t>мал фом</t>
  </si>
  <si>
    <t>3925     6002</t>
  </si>
  <si>
    <t>3867   1352</t>
  </si>
  <si>
    <t>рем входа в подвал, кирп. кладки</t>
  </si>
  <si>
    <t>5001    8519</t>
  </si>
  <si>
    <t>устан светильн -26шт, замена выключ -1шт</t>
  </si>
  <si>
    <t>15313   5484   89110   14669</t>
  </si>
  <si>
    <t>ГВС. Труба 57-24м, 32-3,5м, 25-1,6м, 20-9,5м, кран 57-3шт, 32-1шт,20-2шт</t>
  </si>
  <si>
    <t>9636   32262  370</t>
  </si>
  <si>
    <t>10705   26732</t>
  </si>
  <si>
    <t>20964   15608   3917</t>
  </si>
  <si>
    <t>рем швов</t>
  </si>
  <si>
    <t>рем козырька</t>
  </si>
  <si>
    <t>устан светильн -4шт</t>
  </si>
  <si>
    <t>2403    295   1867      4957</t>
  </si>
  <si>
    <t>труба 100-5м, фас.ч -5шт</t>
  </si>
  <si>
    <t>патрон подвес Е-27 -3шт, светил ЖКХ-04 -2шт, светил звук с датчиком движ -2шт, лампа светодиодная 6Вт -2шт, труба пвх 16-20м, провод АВВГ,2*4мм2-20м</t>
  </si>
  <si>
    <t>устан.автомат. выкл. на освещ подъездов и подвалов-8шт</t>
  </si>
  <si>
    <t>1621  23558   20569</t>
  </si>
  <si>
    <t>труба 89-3,3м, 32-2,5м, 20-5,2м. Кран 32-1шт, 20-13шт, 15-13шт. Задвижка 100-2шт</t>
  </si>
  <si>
    <t>2941   5935  6901   4408  1092,5  8615</t>
  </si>
  <si>
    <t>5936   5378  1092,5   3051</t>
  </si>
  <si>
    <t>13200  3855  7619  3960</t>
  </si>
  <si>
    <t>труба 100-17м, фас.ч- 16шт</t>
  </si>
  <si>
    <t>труба 57-9м, 20-16м. Кран 20-39шт, 15-49шт</t>
  </si>
  <si>
    <t>труба 100-6 м, 50-2,5м. Фас.ч -19шт</t>
  </si>
  <si>
    <t>9604   4733   6042</t>
  </si>
  <si>
    <t>ремонт кирпичной кладки и плит перекрытия над лоджиями, мал форм</t>
  </si>
  <si>
    <t>Светил ЖКХ-04 -60шт. лампа светод 6Вт-60шт. выкл 1шт. труба ПВХ 16-115м. провод ПУГНП, 2*1,5мм2 -40м, АВВГ, 2*4мм2 -115м. розетка 2шт. автомат 32А-4шт</t>
  </si>
  <si>
    <t>8428  11834</t>
  </si>
  <si>
    <t>уст светилн</t>
  </si>
  <si>
    <t>труба 20-11м, кран 20-36 шт, кран 15-63 шт</t>
  </si>
  <si>
    <t>61762   22813</t>
  </si>
  <si>
    <t>рем крыльца, плит перекр. мал форм</t>
  </si>
  <si>
    <t>37235  37758</t>
  </si>
  <si>
    <t>труба 32-12</t>
  </si>
  <si>
    <t>труба 25-3, фас.ч.-9, труба25-25м, труба 20-2м, сгон-20, муфта-12шт</t>
  </si>
  <si>
    <t>установка светильников, замена ламп</t>
  </si>
  <si>
    <t>1090              10364          18386</t>
  </si>
  <si>
    <t>ГВС. подвал. Труба 32-2,5м. Кв69,61,65,64,71,22,26,30,34,38 труба 25-26м, 20-8м; кран 25-1, 15-1шт</t>
  </si>
  <si>
    <t>10364   25066</t>
  </si>
  <si>
    <t>ХВС Кв69,61,65,64,71 труба 25-8м, 20-8м; кран 15-3шт; кв22,26,30,34,38 труба 25-18м; подвал кран 20-2шт, 15-1шт; задвижка 89-1шт</t>
  </si>
  <si>
    <t>кв52,56,57 труба 100-1,5м, фас.ч -5шт</t>
  </si>
  <si>
    <t>подвал. Труба 100-3м</t>
  </si>
  <si>
    <t>ремон отливов, установка перил</t>
  </si>
  <si>
    <t>3863    4215</t>
  </si>
  <si>
    <t>окраска дверей под№1,2,3,4, ремонт потолка</t>
  </si>
  <si>
    <t>установка светильн под№1. подвал замена патрона и выключателя</t>
  </si>
  <si>
    <t>2135                 369</t>
  </si>
  <si>
    <t>План</t>
  </si>
  <si>
    <t>Начислено за год по  тек/ремонту</t>
  </si>
  <si>
    <t>текущего ремонта жилого дома №10 по ул. Монтажников обслуживаемого ЗАО "ЖЭК" на 2017 год</t>
  </si>
  <si>
    <t>окраска дверей</t>
  </si>
  <si>
    <t>5шт</t>
  </si>
  <si>
    <t>замена провода</t>
  </si>
  <si>
    <t>установка прожекторов подъезд №1,2,4</t>
  </si>
  <si>
    <t>ГВС труба 57-11 м    ГВС  руба 32-4 м        ГВС труба 40 - 17 м     ГВС труба 20-10.5м       вентель 20-4           труба 20-3м</t>
  </si>
  <si>
    <t>5697   8580     5429    6025    10773</t>
  </si>
  <si>
    <t>смена паирона подъед 3</t>
  </si>
  <si>
    <t>8 шт</t>
  </si>
  <si>
    <t>5251     1181       1013      781    11417</t>
  </si>
  <si>
    <t xml:space="preserve">ХВС кв53 труба 20-1; кран 20-1шт, 15-1шт </t>
  </si>
  <si>
    <t>2799    2952       21049   7910</t>
  </si>
  <si>
    <t>труба100-24,5м, фас.ч-18шт</t>
  </si>
  <si>
    <t>4шт</t>
  </si>
  <si>
    <t>7966     1110   24637   1925</t>
  </si>
  <si>
    <t>труба 20-3м; кран 20-2шт, 15-1шт</t>
  </si>
  <si>
    <t>кв32  труба 15-4м, кран 15-1шт</t>
  </si>
  <si>
    <t>ГВС кв4,8,подвал труба 32-6м,20-1,5м; кран 20-1шт, 15-1шт</t>
  </si>
  <si>
    <t>1972        4225    8742</t>
  </si>
  <si>
    <t>кв1,5. труба 100-4,25м, фас.ч-6шт</t>
  </si>
  <si>
    <t>кв19,22,23 труба 100-3,5м, фас.ч-5шт</t>
  </si>
  <si>
    <t>2048   880        1553</t>
  </si>
  <si>
    <t>установка перил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</si>
</sst>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00"/>
    <numFmt numFmtId="165" formatCode="0.0"/>
    <numFmt numFmtId="166" formatCode="_-* #,##0_р_._-;\-* #,##0_р_._-;_-* &quot;-&quot;??_р_._-;_-@_-"/>
  </numFmts>
  <fonts count="15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8">
    <xf numFmtId="0" fontId="0" fillId="0" borderId="0" xfId="0"/>
    <xf numFmtId="0" fontId="0" fillId="0" borderId="0" xfId="0" applyBorder="1"/>
    <xf numFmtId="0" fontId="7" fillId="0" borderId="2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1" applyFill="1" applyAlignment="1">
      <alignment horizontal="center"/>
    </xf>
    <xf numFmtId="0" fontId="2" fillId="0" borderId="0" xfId="1" applyFont="1" applyFill="1" applyAlignment="1">
      <alignment vertical="center"/>
    </xf>
    <xf numFmtId="0" fontId="2" fillId="0" borderId="0" xfId="1" applyFill="1" applyAlignment="1"/>
    <xf numFmtId="0" fontId="2" fillId="0" borderId="0" xfId="1" applyFill="1" applyAlignment="1">
      <alignment vertical="center"/>
    </xf>
    <xf numFmtId="0" fontId="9" fillId="0" borderId="0" xfId="1" applyFont="1" applyFill="1" applyAlignment="1">
      <alignment horizontal="center"/>
    </xf>
    <xf numFmtId="0" fontId="2" fillId="0" borderId="0" xfId="1" applyFill="1"/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3" xfId="1" applyFont="1" applyFill="1" applyBorder="1" applyAlignment="1">
      <alignment horizontal="center" vertical="center" wrapText="1"/>
    </xf>
    <xf numFmtId="3" fontId="2" fillId="0" borderId="6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3" fontId="2" fillId="0" borderId="6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left" vertical="top" shrinkToFit="1"/>
    </xf>
    <xf numFmtId="0" fontId="10" fillId="0" borderId="2" xfId="1" applyFont="1" applyFill="1" applyBorder="1" applyAlignment="1">
      <alignment horizontal="center" vertical="top" shrinkToFit="1"/>
    </xf>
    <xf numFmtId="164" fontId="2" fillId="0" borderId="2" xfId="1" applyNumberFormat="1" applyFont="1" applyFill="1" applyBorder="1"/>
    <xf numFmtId="0" fontId="2" fillId="0" borderId="2" xfId="1" applyFont="1" applyFill="1" applyBorder="1"/>
    <xf numFmtId="2" fontId="7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7" fillId="0" borderId="0" xfId="0" applyFont="1" applyFill="1" applyBorder="1"/>
    <xf numFmtId="0" fontId="2" fillId="0" borderId="0" xfId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top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4" fillId="0" borderId="0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2" fillId="0" borderId="0" xfId="1" applyFill="1" applyBorder="1" applyAlignment="1">
      <alignment horizont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2" fillId="0" borderId="2" xfId="1" applyFill="1" applyBorder="1" applyAlignment="1">
      <alignment horizontal="center" vertical="center" wrapText="1"/>
    </xf>
    <xf numFmtId="0" fontId="3" fillId="0" borderId="0" xfId="1" applyFont="1" applyFill="1" applyAlignment="1"/>
    <xf numFmtId="0" fontId="2" fillId="0" borderId="0" xfId="1" applyFont="1" applyFill="1" applyAlignment="1"/>
    <xf numFmtId="0" fontId="2" fillId="0" borderId="3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0" xfId="1" applyFill="1" applyAlignment="1">
      <alignment horizontal="left"/>
    </xf>
    <xf numFmtId="0" fontId="3" fillId="0" borderId="0" xfId="1" applyFont="1" applyFill="1" applyAlignment="1">
      <alignment vertical="center"/>
    </xf>
    <xf numFmtId="3" fontId="2" fillId="0" borderId="3" xfId="1" applyNumberFormat="1" applyFont="1" applyFill="1" applyBorder="1" applyAlignment="1">
      <alignment horizontal="center" vertical="center" wrapText="1"/>
    </xf>
    <xf numFmtId="2" fontId="2" fillId="0" borderId="11" xfId="1" applyNumberFormat="1" applyFont="1" applyFill="1" applyBorder="1" applyAlignment="1">
      <alignment vertical="center"/>
    </xf>
    <xf numFmtId="3" fontId="2" fillId="0" borderId="5" xfId="1" applyNumberFormat="1" applyFont="1" applyFill="1" applyBorder="1" applyAlignment="1">
      <alignment vertical="center"/>
    </xf>
    <xf numFmtId="0" fontId="2" fillId="0" borderId="5" xfId="1" applyFont="1" applyFill="1" applyBorder="1" applyAlignment="1">
      <alignment horizontal="center" vertical="center"/>
    </xf>
    <xf numFmtId="3" fontId="2" fillId="0" borderId="5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right"/>
    </xf>
    <xf numFmtId="0" fontId="2" fillId="0" borderId="0" xfId="1" applyFill="1" applyAlignment="1">
      <alignment horizontal="left"/>
    </xf>
    <xf numFmtId="0" fontId="2" fillId="0" borderId="14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2" fillId="0" borderId="3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4" fillId="0" borderId="9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right"/>
    </xf>
    <xf numFmtId="0" fontId="4" fillId="0" borderId="18" xfId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/>
    </xf>
    <xf numFmtId="0" fontId="2" fillId="0" borderId="0" xfId="1" applyFill="1" applyAlignment="1">
      <alignment horizontal="left"/>
    </xf>
    <xf numFmtId="0" fontId="1" fillId="0" borderId="0" xfId="1" applyFont="1" applyFill="1" applyAlignment="1">
      <alignment horizontal="left"/>
    </xf>
    <xf numFmtId="0" fontId="2" fillId="0" borderId="9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29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2" fillId="0" borderId="8" xfId="1" applyNumberFormat="1" applyFont="1" applyFill="1" applyBorder="1" applyAlignment="1">
      <alignment horizontal="center" vertical="center"/>
    </xf>
    <xf numFmtId="2" fontId="2" fillId="0" borderId="3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4" fillId="0" borderId="9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2" fillId="0" borderId="0" xfId="1" applyFont="1" applyFill="1" applyAlignment="1">
      <alignment horizontal="right" vertical="center"/>
    </xf>
    <xf numFmtId="0" fontId="2" fillId="0" borderId="9" xfId="1" applyFill="1" applyBorder="1" applyAlignment="1">
      <alignment vertical="center" wrapText="1"/>
    </xf>
    <xf numFmtId="0" fontId="2" fillId="0" borderId="17" xfId="1" applyFill="1" applyBorder="1" applyAlignment="1">
      <alignment horizontal="center"/>
    </xf>
    <xf numFmtId="0" fontId="2" fillId="0" borderId="18" xfId="1" applyFill="1" applyBorder="1" applyAlignment="1">
      <alignment horizontal="center"/>
    </xf>
    <xf numFmtId="0" fontId="2" fillId="0" borderId="3" xfId="1" applyFill="1" applyBorder="1" applyAlignment="1">
      <alignment vertical="center" wrapText="1"/>
    </xf>
    <xf numFmtId="0" fontId="2" fillId="0" borderId="13" xfId="1" applyFill="1" applyBorder="1" applyAlignment="1">
      <alignment horizontal="center"/>
    </xf>
    <xf numFmtId="0" fontId="2" fillId="0" borderId="19" xfId="1" applyFill="1" applyBorder="1" applyAlignment="1">
      <alignment horizontal="center"/>
    </xf>
    <xf numFmtId="0" fontId="4" fillId="0" borderId="9" xfId="1" applyFont="1" applyFill="1" applyBorder="1" applyAlignment="1">
      <alignment horizontal="left" vertical="center" shrinkToFit="1"/>
    </xf>
    <xf numFmtId="0" fontId="4" fillId="0" borderId="9" xfId="1" applyFont="1" applyFill="1" applyBorder="1" applyAlignment="1">
      <alignment horizontal="center" vertical="center" shrinkToFit="1"/>
    </xf>
    <xf numFmtId="2" fontId="2" fillId="0" borderId="9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4" fillId="0" borderId="3" xfId="1" applyFont="1" applyFill="1" applyBorder="1" applyAlignment="1">
      <alignment horizontal="left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wrapText="1"/>
    </xf>
    <xf numFmtId="3" fontId="2" fillId="0" borderId="9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left" vertical="center" wrapText="1"/>
    </xf>
    <xf numFmtId="0" fontId="0" fillId="0" borderId="9" xfId="0" applyFill="1" applyBorder="1" applyAlignment="1">
      <alignment vertical="center" wrapText="1"/>
    </xf>
    <xf numFmtId="0" fontId="2" fillId="0" borderId="5" xfId="1" applyFont="1" applyFill="1" applyBorder="1" applyAlignment="1">
      <alignment horizontal="left" vertical="center" shrinkToFit="1"/>
    </xf>
    <xf numFmtId="0" fontId="9" fillId="0" borderId="5" xfId="1" applyFont="1" applyFill="1" applyBorder="1" applyAlignment="1">
      <alignment horizontal="center" vertical="center" shrinkToFit="1"/>
    </xf>
    <xf numFmtId="2" fontId="2" fillId="0" borderId="10" xfId="1" applyNumberFormat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4" fillId="0" borderId="14" xfId="1" applyFont="1" applyFill="1" applyBorder="1" applyAlignment="1">
      <alignment horizontal="left" vertical="center" shrinkToFit="1"/>
    </xf>
    <xf numFmtId="0" fontId="4" fillId="0" borderId="14" xfId="1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vertical="center"/>
    </xf>
    <xf numFmtId="0" fontId="2" fillId="0" borderId="14" xfId="1" applyFont="1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3" fontId="0" fillId="0" borderId="3" xfId="0" applyNumberForma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3" xfId="0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 shrinkToFit="1"/>
    </xf>
    <xf numFmtId="2" fontId="2" fillId="0" borderId="5" xfId="1" applyNumberFormat="1" applyFont="1" applyFill="1" applyBorder="1" applyAlignment="1">
      <alignment vertical="center"/>
    </xf>
    <xf numFmtId="2" fontId="2" fillId="0" borderId="14" xfId="1" applyNumberFormat="1" applyFont="1" applyFill="1" applyBorder="1" applyAlignment="1">
      <alignment vertical="center" shrinkToFit="1"/>
    </xf>
    <xf numFmtId="2" fontId="2" fillId="0" borderId="14" xfId="1" applyNumberFormat="1" applyFont="1" applyFill="1" applyBorder="1" applyAlignment="1">
      <alignment vertical="center"/>
    </xf>
    <xf numFmtId="0" fontId="0" fillId="0" borderId="8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8" xfId="0" applyFill="1" applyBorder="1" applyAlignment="1">
      <alignment vertical="center" shrinkToFit="1"/>
    </xf>
    <xf numFmtId="0" fontId="0" fillId="0" borderId="8" xfId="0" applyFill="1" applyBorder="1" applyAlignment="1">
      <alignment vertical="center"/>
    </xf>
    <xf numFmtId="0" fontId="0" fillId="0" borderId="3" xfId="0" applyFill="1" applyBorder="1" applyAlignment="1">
      <alignment vertical="center" shrinkToFit="1"/>
    </xf>
    <xf numFmtId="0" fontId="2" fillId="0" borderId="4" xfId="1" applyFont="1" applyFill="1" applyBorder="1" applyAlignment="1">
      <alignment horizontal="left" vertical="center" shrinkToFit="1"/>
    </xf>
    <xf numFmtId="0" fontId="9" fillId="0" borderId="4" xfId="1" applyFont="1" applyFill="1" applyBorder="1" applyAlignment="1">
      <alignment horizontal="center" vertical="center" shrinkToFit="1"/>
    </xf>
    <xf numFmtId="2" fontId="2" fillId="0" borderId="14" xfId="1" applyNumberFormat="1" applyFont="1" applyFill="1" applyBorder="1" applyAlignment="1">
      <alignment horizontal="center" vertical="center"/>
    </xf>
    <xf numFmtId="3" fontId="2" fillId="0" borderId="4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6" xfId="0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4" fillId="0" borderId="14" xfId="1" applyFont="1" applyFill="1" applyBorder="1" applyAlignment="1">
      <alignment vertical="center" shrinkToFit="1"/>
    </xf>
    <xf numFmtId="0" fontId="4" fillId="0" borderId="3" xfId="1" applyFont="1" applyFill="1" applyBorder="1" applyAlignment="1">
      <alignment vertical="center" shrinkToFit="1"/>
    </xf>
    <xf numFmtId="0" fontId="2" fillId="0" borderId="9" xfId="1" applyFont="1" applyFill="1" applyBorder="1" applyAlignment="1">
      <alignment horizontal="left" vertical="center" wrapText="1"/>
    </xf>
    <xf numFmtId="3" fontId="7" fillId="0" borderId="6" xfId="0" applyNumberFormat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left" vertical="center" shrinkToFit="1"/>
    </xf>
    <xf numFmtId="0" fontId="4" fillId="0" borderId="8" xfId="1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/>
    </xf>
    <xf numFmtId="2" fontId="2" fillId="0" borderId="8" xfId="1" applyNumberFormat="1" applyFont="1" applyFill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right" vertical="center"/>
    </xf>
    <xf numFmtId="3" fontId="2" fillId="0" borderId="5" xfId="1" applyNumberFormat="1" applyFont="1" applyFill="1" applyBorder="1" applyAlignment="1">
      <alignment horizontal="right" vertical="center"/>
    </xf>
    <xf numFmtId="0" fontId="7" fillId="0" borderId="24" xfId="0" applyFont="1" applyFill="1" applyBorder="1" applyAlignment="1">
      <alignment vertical="center"/>
    </xf>
    <xf numFmtId="0" fontId="2" fillId="0" borderId="5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 shrinkToFit="1"/>
    </xf>
    <xf numFmtId="0" fontId="4" fillId="0" borderId="3" xfId="1" applyFont="1" applyFill="1" applyBorder="1" applyAlignment="1">
      <alignment horizontal="center" vertical="center" shrinkToFit="1"/>
    </xf>
    <xf numFmtId="2" fontId="2" fillId="0" borderId="3" xfId="1" applyNumberFormat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0" fontId="2" fillId="0" borderId="6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3" fontId="2" fillId="0" borderId="8" xfId="1" applyNumberFormat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3" fontId="2" fillId="0" borderId="4" xfId="1" applyNumberFormat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4" fillId="0" borderId="3" xfId="1" applyFont="1" applyFill="1" applyBorder="1" applyAlignment="1">
      <alignment vertical="center" shrinkToFit="1"/>
    </xf>
    <xf numFmtId="0" fontId="2" fillId="0" borderId="3" xfId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3" fontId="2" fillId="0" borderId="2" xfId="1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horizontal="left" vertical="center" shrinkToFit="1"/>
    </xf>
    <xf numFmtId="0" fontId="4" fillId="0" borderId="6" xfId="1" applyFont="1" applyFill="1" applyBorder="1" applyAlignment="1">
      <alignment horizontal="center" vertical="center" shrinkToFit="1"/>
    </xf>
    <xf numFmtId="2" fontId="2" fillId="0" borderId="7" xfId="1" applyNumberFormat="1" applyFont="1" applyFill="1" applyBorder="1" applyAlignment="1">
      <alignment vertical="center"/>
    </xf>
    <xf numFmtId="2" fontId="2" fillId="0" borderId="12" xfId="1" applyNumberFormat="1" applyFont="1" applyFill="1" applyBorder="1" applyAlignment="1">
      <alignment vertical="center"/>
    </xf>
    <xf numFmtId="3" fontId="2" fillId="0" borderId="8" xfId="1" applyNumberFormat="1" applyFont="1" applyFill="1" applyBorder="1" applyAlignment="1">
      <alignment vertical="center"/>
    </xf>
    <xf numFmtId="2" fontId="2" fillId="0" borderId="25" xfId="1" applyNumberFormat="1" applyFont="1" applyFill="1" applyBorder="1" applyAlignment="1">
      <alignment horizontal="center" vertical="center"/>
    </xf>
    <xf numFmtId="2" fontId="2" fillId="0" borderId="26" xfId="1" applyNumberFormat="1" applyFont="1" applyFill="1" applyBorder="1" applyAlignment="1">
      <alignment horizontal="center" vertical="center"/>
    </xf>
    <xf numFmtId="2" fontId="2" fillId="0" borderId="27" xfId="1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2" fontId="2" fillId="0" borderId="13" xfId="1" applyNumberFormat="1" applyFont="1" applyFill="1" applyBorder="1" applyAlignment="1">
      <alignment horizontal="center" vertical="center"/>
    </xf>
    <xf numFmtId="2" fontId="2" fillId="0" borderId="21" xfId="1" applyNumberFormat="1" applyFont="1" applyFill="1" applyBorder="1" applyAlignment="1">
      <alignment horizontal="center" vertical="center"/>
    </xf>
    <xf numFmtId="2" fontId="2" fillId="0" borderId="19" xfId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7" fillId="0" borderId="22" xfId="0" applyFont="1" applyFill="1" applyBorder="1" applyAlignment="1">
      <alignment vertical="center"/>
    </xf>
    <xf numFmtId="0" fontId="2" fillId="0" borderId="3" xfId="1" applyFont="1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3" fontId="0" fillId="0" borderId="5" xfId="0" applyNumberForma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2" fillId="0" borderId="14" xfId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/>
    </xf>
    <xf numFmtId="166" fontId="2" fillId="0" borderId="6" xfId="3" applyNumberFormat="1" applyFont="1" applyFill="1" applyBorder="1" applyAlignment="1">
      <alignment horizontal="center" vertical="center"/>
    </xf>
    <xf numFmtId="166" fontId="2" fillId="0" borderId="6" xfId="3" applyNumberFormat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/>
    </xf>
    <xf numFmtId="166" fontId="2" fillId="0" borderId="8" xfId="3" applyNumberFormat="1" applyFont="1" applyFill="1" applyBorder="1" applyAlignment="1">
      <alignment horizontal="center" vertical="center"/>
    </xf>
    <xf numFmtId="166" fontId="2" fillId="0" borderId="8" xfId="3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vertical="center"/>
    </xf>
    <xf numFmtId="166" fontId="2" fillId="0" borderId="5" xfId="1" applyNumberFormat="1" applyFont="1" applyFill="1" applyBorder="1" applyAlignment="1">
      <alignment vertical="center"/>
    </xf>
    <xf numFmtId="166" fontId="2" fillId="0" borderId="5" xfId="2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 shrinkToFit="1"/>
    </xf>
    <xf numFmtId="2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0" fontId="9" fillId="0" borderId="6" xfId="1" applyFont="1" applyFill="1" applyBorder="1" applyAlignment="1">
      <alignment horizontal="center" vertical="center" shrinkToFit="1"/>
    </xf>
    <xf numFmtId="2" fontId="2" fillId="0" borderId="6" xfId="1" applyNumberFormat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/>
    </xf>
    <xf numFmtId="2" fontId="2" fillId="0" borderId="28" xfId="1" applyNumberFormat="1" applyFont="1" applyFill="1" applyBorder="1" applyAlignment="1">
      <alignment horizontal="center" vertical="center"/>
    </xf>
    <xf numFmtId="2" fontId="2" fillId="0" borderId="15" xfId="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9" fillId="0" borderId="8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2" fontId="2" fillId="0" borderId="6" xfId="1" applyNumberFormat="1" applyFont="1" applyFill="1" applyBorder="1" applyAlignment="1">
      <alignment vertical="center"/>
    </xf>
    <xf numFmtId="0" fontId="9" fillId="0" borderId="14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vertical="center"/>
    </xf>
    <xf numFmtId="0" fontId="12" fillId="0" borderId="8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vertical="center" shrinkToFit="1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 wrapText="1"/>
    </xf>
    <xf numFmtId="1" fontId="2" fillId="0" borderId="6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" fontId="2" fillId="0" borderId="8" xfId="1" applyNumberFormat="1" applyFont="1" applyFill="1" applyBorder="1" applyAlignment="1">
      <alignment horizontal="center" vertical="center"/>
    </xf>
    <xf numFmtId="165" fontId="2" fillId="0" borderId="5" xfId="1" applyNumberFormat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3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2" fillId="0" borderId="14" xfId="1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3" fontId="0" fillId="0" borderId="2" xfId="0" applyNumberForma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3" fontId="0" fillId="0" borderId="8" xfId="0" applyNumberForma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14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vertical="center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2" fillId="0" borderId="0" xfId="1" applyFill="1" applyBorder="1" applyAlignment="1">
      <alignment vertical="center"/>
    </xf>
    <xf numFmtId="0" fontId="2" fillId="0" borderId="0" xfId="1" applyFont="1" applyFill="1" applyBorder="1" applyAlignment="1">
      <alignment horizontal="center"/>
    </xf>
  </cellXfs>
  <cellStyles count="4">
    <cellStyle name="Обычный" xfId="0" builtinId="0"/>
    <cellStyle name="Обычный_Лист1" xfId="1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A287"/>
  <sheetViews>
    <sheetView showGridLines="0" tabSelected="1" zoomScale="78" zoomScaleNormal="78" workbookViewId="0">
      <pane xSplit="3" ySplit="10" topLeftCell="D11" activePane="bottomRight" state="frozen"/>
      <selection pane="topRight" activeCell="D1" sqref="D1"/>
      <selection pane="bottomLeft" activeCell="A12" sqref="A12"/>
      <selection pane="bottomRight" activeCell="M12" sqref="M12"/>
    </sheetView>
  </sheetViews>
  <sheetFormatPr defaultRowHeight="12.75"/>
  <cols>
    <col min="1" max="1" width="2.85546875" style="43" customWidth="1"/>
    <col min="2" max="2" width="15.85546875" style="45" customWidth="1"/>
    <col min="3" max="3" width="5.85546875" style="113" customWidth="1"/>
    <col min="4" max="4" width="12.140625" style="3" customWidth="1"/>
    <col min="5" max="5" width="11.42578125" style="3" customWidth="1"/>
    <col min="6" max="6" width="9.85546875" style="3" customWidth="1"/>
    <col min="7" max="7" width="12" style="3" customWidth="1"/>
    <col min="8" max="8" width="7.85546875" style="4" customWidth="1"/>
    <col min="9" max="9" width="8" style="4" customWidth="1"/>
    <col min="10" max="10" width="8.140625" style="4" customWidth="1"/>
    <col min="11" max="11" width="8.85546875" style="4" customWidth="1"/>
    <col min="12" max="12" width="6.85546875" style="4" customWidth="1"/>
    <col min="13" max="13" width="7.42578125" style="4" customWidth="1"/>
    <col min="14" max="16" width="7" style="4" customWidth="1"/>
    <col min="17" max="17" width="8.5703125" style="4" customWidth="1"/>
    <col min="18" max="18" width="9" style="4" customWidth="1"/>
    <col min="19" max="19" width="7.5703125" style="4" customWidth="1"/>
    <col min="20" max="20" width="7.140625" style="4" customWidth="1"/>
    <col min="21" max="21" width="9" style="4" customWidth="1"/>
    <col min="22" max="22" width="8.5703125" style="4" customWidth="1"/>
    <col min="23" max="23" width="9" style="4" customWidth="1"/>
    <col min="24" max="24" width="11.85546875" style="4" customWidth="1"/>
    <col min="25" max="25" width="8.85546875" style="4" customWidth="1"/>
    <col min="26" max="27" width="8.5703125" style="4" customWidth="1"/>
    <col min="28" max="28" width="10.7109375" style="4" customWidth="1"/>
    <col min="29" max="29" width="7.7109375" style="4" customWidth="1"/>
    <col min="30" max="30" width="9.140625" style="4" customWidth="1"/>
    <col min="31" max="31" width="8.5703125" style="4" customWidth="1"/>
    <col min="32" max="32" width="9.7109375" style="45" customWidth="1"/>
    <col min="33" max="33" width="9" style="4" customWidth="1"/>
    <col min="34" max="34" width="10.85546875" style="4" customWidth="1"/>
    <col min="35" max="35" width="8.5703125" style="4" customWidth="1"/>
    <col min="36" max="36" width="9.5703125" style="4" customWidth="1"/>
    <col min="37" max="37" width="7.42578125" style="4" customWidth="1"/>
    <col min="38" max="38" width="8.28515625" style="4" customWidth="1"/>
    <col min="39" max="39" width="6.7109375" style="4" customWidth="1"/>
    <col min="40" max="40" width="10.28515625" style="4" customWidth="1"/>
    <col min="41" max="41" width="7.85546875" style="4" customWidth="1"/>
    <col min="42" max="42" width="10.140625" style="4" customWidth="1"/>
    <col min="43" max="43" width="8.5703125" style="4" customWidth="1"/>
    <col min="44" max="44" width="8.42578125" style="4" customWidth="1"/>
    <col min="45" max="45" width="7.140625" style="4" customWidth="1"/>
    <col min="46" max="46" width="7.140625" style="3" customWidth="1"/>
    <col min="47" max="47" width="7.42578125" style="3" customWidth="1"/>
    <col min="48" max="53" width="9.140625" style="3"/>
  </cols>
  <sheetData>
    <row r="2" spans="1:47" s="3" customFormat="1" ht="18">
      <c r="A2" s="101" t="s">
        <v>18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R2" s="4"/>
      <c r="AS2" s="4"/>
    </row>
    <row r="3" spans="1:47" s="3" customFormat="1" ht="18">
      <c r="A3" s="101" t="s">
        <v>675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R3" s="4"/>
      <c r="AS3" s="4"/>
    </row>
    <row r="4" spans="1:47" s="3" customFormat="1" ht="18">
      <c r="A4" s="94"/>
      <c r="B4" s="94"/>
      <c r="C4" s="9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6" t="s">
        <v>676</v>
      </c>
      <c r="S4" s="6"/>
      <c r="T4" s="6"/>
      <c r="U4" s="6"/>
      <c r="V4" s="6"/>
      <c r="W4" s="114" t="s">
        <v>677</v>
      </c>
      <c r="X4" s="6"/>
      <c r="Y4" s="6"/>
      <c r="Z4" s="6"/>
      <c r="AA4" s="6"/>
      <c r="AB4" s="5"/>
      <c r="AC4" s="5"/>
      <c r="AD4" s="5"/>
      <c r="AE4" s="5"/>
      <c r="AF4" s="89"/>
      <c r="AG4" s="89"/>
      <c r="AH4" s="89"/>
      <c r="AI4" s="89"/>
      <c r="AJ4" s="89"/>
      <c r="AK4" s="89"/>
      <c r="AL4" s="89"/>
      <c r="AM4" s="89"/>
      <c r="AN4" s="89"/>
      <c r="AO4" s="89"/>
      <c r="AR4" s="4"/>
      <c r="AS4" s="4"/>
    </row>
    <row r="5" spans="1:47" s="3" customFormat="1">
      <c r="A5" s="92"/>
      <c r="B5" s="93"/>
      <c r="C5" s="9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6" t="s">
        <v>678</v>
      </c>
      <c r="S5" s="56"/>
      <c r="T5" s="56"/>
      <c r="U5" s="56"/>
      <c r="V5" s="56"/>
      <c r="W5" s="73" t="s">
        <v>679</v>
      </c>
      <c r="X5" s="56"/>
      <c r="Y5" s="56"/>
      <c r="Z5" s="56"/>
      <c r="AA5" s="56"/>
      <c r="AB5" s="5"/>
      <c r="AC5" s="5"/>
      <c r="AD5" s="5"/>
      <c r="AE5" s="5"/>
      <c r="AF5" s="89"/>
      <c r="AG5" s="89"/>
      <c r="AH5" s="89"/>
      <c r="AI5" s="89"/>
      <c r="AJ5" s="89"/>
      <c r="AK5" s="89"/>
      <c r="AL5" s="89"/>
      <c r="AM5" s="89"/>
      <c r="AN5" s="89"/>
      <c r="AO5" s="89"/>
      <c r="AR5" s="4"/>
      <c r="AS5" s="4"/>
    </row>
    <row r="6" spans="1:47" s="3" customFormat="1">
      <c r="A6" s="6"/>
      <c r="B6" s="7"/>
      <c r="C6" s="7"/>
      <c r="D6" s="7"/>
      <c r="E6" s="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6" t="s">
        <v>680</v>
      </c>
      <c r="S6" s="56"/>
      <c r="T6" s="56"/>
      <c r="U6" s="56"/>
      <c r="V6" s="56"/>
      <c r="W6" s="73" t="s">
        <v>681</v>
      </c>
      <c r="X6" s="56"/>
      <c r="Y6" s="56"/>
      <c r="Z6" s="56"/>
      <c r="AA6" s="56"/>
      <c r="AB6" s="5"/>
      <c r="AC6" s="5"/>
      <c r="AD6" s="5"/>
      <c r="AE6" s="5"/>
      <c r="AF6" s="89"/>
      <c r="AG6" s="89"/>
      <c r="AH6" s="89"/>
      <c r="AI6" s="89"/>
      <c r="AJ6" s="89"/>
      <c r="AK6" s="89"/>
      <c r="AL6" s="89"/>
      <c r="AM6" s="89"/>
      <c r="AN6" s="89"/>
      <c r="AO6" s="89"/>
      <c r="AR6" s="4"/>
      <c r="AS6" s="4"/>
    </row>
    <row r="7" spans="1:47" s="3" customFormat="1">
      <c r="A7" s="92"/>
      <c r="B7" s="93"/>
      <c r="C7" s="93"/>
      <c r="D7" s="93"/>
      <c r="E7" s="7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6"/>
      <c r="S7" s="56"/>
      <c r="T7" s="56"/>
      <c r="U7" s="56"/>
      <c r="V7" s="56"/>
      <c r="W7" s="73" t="s">
        <v>699</v>
      </c>
      <c r="X7" s="56"/>
      <c r="Y7" s="56"/>
      <c r="Z7" s="56"/>
      <c r="AA7" s="56"/>
      <c r="AB7" s="5"/>
      <c r="AC7" s="5"/>
      <c r="AD7" s="5"/>
      <c r="AE7" s="5"/>
      <c r="AF7" s="74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4"/>
      <c r="AS7" s="4"/>
    </row>
    <row r="8" spans="1:47" s="3" customFormat="1">
      <c r="A8" s="8"/>
      <c r="B8" s="74"/>
      <c r="C8" s="9"/>
      <c r="D8" s="10"/>
      <c r="E8" s="10"/>
      <c r="F8" s="10"/>
      <c r="G8" s="10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12"/>
      <c r="Y8" s="5"/>
      <c r="Z8" s="5"/>
      <c r="AA8" s="5"/>
      <c r="AB8" s="5"/>
      <c r="AC8" s="5"/>
      <c r="AD8" s="5"/>
      <c r="AE8" s="5"/>
      <c r="AF8" s="74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4"/>
      <c r="AS8" s="4"/>
    </row>
    <row r="9" spans="1:47" s="3" customFormat="1" ht="79.5" customHeight="1">
      <c r="A9" s="115" t="s">
        <v>0</v>
      </c>
      <c r="B9" s="116" t="s">
        <v>1</v>
      </c>
      <c r="C9" s="117"/>
      <c r="D9" s="79" t="s">
        <v>32</v>
      </c>
      <c r="E9" s="79" t="s">
        <v>35</v>
      </c>
      <c r="F9" s="79" t="s">
        <v>36</v>
      </c>
      <c r="G9" s="79" t="s">
        <v>33</v>
      </c>
      <c r="H9" s="86" t="s">
        <v>345</v>
      </c>
      <c r="I9" s="90"/>
      <c r="J9" s="86" t="s">
        <v>34</v>
      </c>
      <c r="K9" s="91"/>
      <c r="L9" s="86" t="s">
        <v>137</v>
      </c>
      <c r="M9" s="87"/>
      <c r="N9" s="86" t="s">
        <v>34</v>
      </c>
      <c r="O9" s="91"/>
      <c r="P9" s="88" t="s">
        <v>26</v>
      </c>
      <c r="Q9" s="88"/>
      <c r="R9" s="86" t="s">
        <v>34</v>
      </c>
      <c r="S9" s="91"/>
      <c r="T9" s="86" t="s">
        <v>25</v>
      </c>
      <c r="U9" s="87"/>
      <c r="V9" s="86" t="s">
        <v>34</v>
      </c>
      <c r="W9" s="91"/>
      <c r="X9" s="86" t="s">
        <v>27</v>
      </c>
      <c r="Y9" s="87"/>
      <c r="Z9" s="86" t="s">
        <v>34</v>
      </c>
      <c r="AA9" s="91"/>
      <c r="AB9" s="86" t="s">
        <v>24</v>
      </c>
      <c r="AC9" s="90"/>
      <c r="AD9" s="86" t="s">
        <v>34</v>
      </c>
      <c r="AE9" s="91"/>
      <c r="AF9" s="84" t="s">
        <v>23</v>
      </c>
      <c r="AG9" s="85"/>
      <c r="AH9" s="86" t="s">
        <v>34</v>
      </c>
      <c r="AI9" s="91"/>
      <c r="AJ9" s="86" t="s">
        <v>30</v>
      </c>
      <c r="AK9" s="90"/>
      <c r="AL9" s="86" t="s">
        <v>34</v>
      </c>
      <c r="AM9" s="91"/>
      <c r="AN9" s="88" t="s">
        <v>2</v>
      </c>
      <c r="AO9" s="88"/>
      <c r="AP9" s="86" t="s">
        <v>34</v>
      </c>
      <c r="AQ9" s="91"/>
      <c r="AR9" s="98" t="s">
        <v>115</v>
      </c>
      <c r="AS9" s="99"/>
      <c r="AT9" s="100" t="s">
        <v>33</v>
      </c>
      <c r="AU9" s="91"/>
    </row>
    <row r="10" spans="1:47" s="3" customFormat="1" ht="25.5">
      <c r="A10" s="118"/>
      <c r="B10" s="119"/>
      <c r="C10" s="120"/>
      <c r="D10" s="52" t="s">
        <v>3</v>
      </c>
      <c r="E10" s="52" t="s">
        <v>3</v>
      </c>
      <c r="F10" s="52" t="s">
        <v>20</v>
      </c>
      <c r="G10" s="52"/>
      <c r="H10" s="53" t="s">
        <v>17</v>
      </c>
      <c r="I10" s="52" t="s">
        <v>471</v>
      </c>
      <c r="J10" s="53" t="s">
        <v>17</v>
      </c>
      <c r="K10" s="52" t="s">
        <v>471</v>
      </c>
      <c r="L10" s="53" t="s">
        <v>17</v>
      </c>
      <c r="M10" s="52" t="s">
        <v>471</v>
      </c>
      <c r="N10" s="53" t="s">
        <v>17</v>
      </c>
      <c r="O10" s="52" t="s">
        <v>471</v>
      </c>
      <c r="P10" s="53" t="s">
        <v>17</v>
      </c>
      <c r="Q10" s="52" t="s">
        <v>471</v>
      </c>
      <c r="R10" s="53" t="s">
        <v>17</v>
      </c>
      <c r="S10" s="52" t="s">
        <v>471</v>
      </c>
      <c r="T10" s="53" t="s">
        <v>17</v>
      </c>
      <c r="U10" s="52" t="s">
        <v>471</v>
      </c>
      <c r="V10" s="53" t="s">
        <v>17</v>
      </c>
      <c r="W10" s="52" t="s">
        <v>471</v>
      </c>
      <c r="X10" s="53" t="s">
        <v>17</v>
      </c>
      <c r="Y10" s="52" t="s">
        <v>471</v>
      </c>
      <c r="Z10" s="53" t="s">
        <v>17</v>
      </c>
      <c r="AA10" s="52" t="s">
        <v>471</v>
      </c>
      <c r="AB10" s="53" t="s">
        <v>17</v>
      </c>
      <c r="AC10" s="52" t="s">
        <v>471</v>
      </c>
      <c r="AD10" s="53" t="s">
        <v>17</v>
      </c>
      <c r="AE10" s="52" t="s">
        <v>471</v>
      </c>
      <c r="AF10" s="54" t="s">
        <v>17</v>
      </c>
      <c r="AG10" s="52" t="s">
        <v>471</v>
      </c>
      <c r="AH10" s="53" t="s">
        <v>17</v>
      </c>
      <c r="AI10" s="52" t="s">
        <v>471</v>
      </c>
      <c r="AJ10" s="53" t="s">
        <v>17</v>
      </c>
      <c r="AK10" s="52" t="s">
        <v>471</v>
      </c>
      <c r="AL10" s="53" t="s">
        <v>17</v>
      </c>
      <c r="AM10" s="52" t="s">
        <v>471</v>
      </c>
      <c r="AN10" s="53" t="s">
        <v>17</v>
      </c>
      <c r="AO10" s="52" t="s">
        <v>471</v>
      </c>
      <c r="AP10" s="53" t="s">
        <v>17</v>
      </c>
      <c r="AQ10" s="52" t="s">
        <v>471</v>
      </c>
      <c r="AR10" s="53" t="s">
        <v>17</v>
      </c>
      <c r="AS10" s="52" t="s">
        <v>471</v>
      </c>
      <c r="AT10" s="53" t="s">
        <v>17</v>
      </c>
      <c r="AU10" s="18" t="s">
        <v>471</v>
      </c>
    </row>
    <row r="11" spans="1:47" s="51" customFormat="1" ht="63.75">
      <c r="A11" s="95">
        <v>1</v>
      </c>
      <c r="B11" s="121" t="s">
        <v>6</v>
      </c>
      <c r="C11" s="122">
        <v>1</v>
      </c>
      <c r="D11" s="123"/>
      <c r="E11" s="123"/>
      <c r="F11" s="124"/>
      <c r="G11" s="124"/>
      <c r="H11" s="125"/>
      <c r="I11" s="125"/>
      <c r="J11" s="125"/>
      <c r="K11" s="125"/>
      <c r="L11" s="126"/>
      <c r="M11" s="125"/>
      <c r="N11" s="125"/>
      <c r="O11" s="125"/>
      <c r="P11" s="125"/>
      <c r="Q11" s="125"/>
      <c r="R11" s="125"/>
      <c r="S11" s="125"/>
      <c r="T11" s="18" t="s">
        <v>507</v>
      </c>
      <c r="U11" s="127">
        <v>2000</v>
      </c>
      <c r="V11" s="125"/>
      <c r="W11" s="125"/>
      <c r="X11" s="125"/>
      <c r="Y11" s="125"/>
      <c r="Z11" s="125"/>
      <c r="AA11" s="125"/>
      <c r="AB11" s="18" t="s">
        <v>152</v>
      </c>
      <c r="AC11" s="127">
        <v>22344</v>
      </c>
      <c r="AD11" s="57"/>
      <c r="AE11" s="57"/>
      <c r="AF11" s="19" t="s">
        <v>253</v>
      </c>
      <c r="AG11" s="18" t="s">
        <v>252</v>
      </c>
      <c r="AH11" s="18" t="s">
        <v>349</v>
      </c>
      <c r="AI11" s="18">
        <v>16412</v>
      </c>
      <c r="AJ11" s="125"/>
      <c r="AK11" s="125"/>
      <c r="AL11" s="125"/>
      <c r="AM11" s="125"/>
      <c r="AN11" s="128" t="s">
        <v>674</v>
      </c>
      <c r="AO11" s="127">
        <v>4014</v>
      </c>
      <c r="AP11" s="125"/>
      <c r="AQ11" s="125"/>
      <c r="AR11" s="22"/>
      <c r="AS11" s="22"/>
      <c r="AT11" s="50"/>
      <c r="AU11" s="50"/>
    </row>
    <row r="12" spans="1:47" s="51" customFormat="1" ht="89.25">
      <c r="A12" s="81"/>
      <c r="B12" s="129"/>
      <c r="C12" s="130"/>
      <c r="D12" s="109"/>
      <c r="E12" s="109"/>
      <c r="F12" s="131"/>
      <c r="G12" s="131"/>
      <c r="H12" s="132"/>
      <c r="I12" s="132"/>
      <c r="J12" s="132"/>
      <c r="K12" s="132"/>
      <c r="L12" s="133"/>
      <c r="M12" s="132"/>
      <c r="N12" s="132"/>
      <c r="O12" s="132"/>
      <c r="P12" s="132"/>
      <c r="Q12" s="132"/>
      <c r="R12" s="132"/>
      <c r="S12" s="132"/>
      <c r="T12" s="134" t="s">
        <v>499</v>
      </c>
      <c r="U12" s="135">
        <v>6400</v>
      </c>
      <c r="V12" s="132"/>
      <c r="W12" s="132"/>
      <c r="X12" s="132"/>
      <c r="Y12" s="132"/>
      <c r="Z12" s="132"/>
      <c r="AA12" s="132"/>
      <c r="AB12" s="132"/>
      <c r="AC12" s="132"/>
      <c r="AD12" s="78"/>
      <c r="AE12" s="78"/>
      <c r="AF12" s="136" t="s">
        <v>250</v>
      </c>
      <c r="AG12" s="134" t="s">
        <v>251</v>
      </c>
      <c r="AH12" s="132"/>
      <c r="AI12" s="132"/>
      <c r="AJ12" s="132"/>
      <c r="AK12" s="132"/>
      <c r="AL12" s="132"/>
      <c r="AM12" s="132"/>
      <c r="AN12" s="137" t="s">
        <v>151</v>
      </c>
      <c r="AO12" s="135">
        <v>5352</v>
      </c>
      <c r="AP12" s="132"/>
      <c r="AQ12" s="132"/>
      <c r="AR12" s="22"/>
      <c r="AS12" s="22"/>
      <c r="AT12" s="50"/>
      <c r="AU12" s="50"/>
    </row>
    <row r="13" spans="1:47" s="51" customFormat="1" ht="13.5" thickBot="1">
      <c r="A13" s="82"/>
      <c r="B13" s="138" t="s">
        <v>21</v>
      </c>
      <c r="C13" s="139"/>
      <c r="D13" s="140">
        <v>26873.599999999999</v>
      </c>
      <c r="E13" s="140">
        <v>23447.1</v>
      </c>
      <c r="F13" s="64">
        <f>SUM(I13,M13,Q13,U13,AC13,AG13,AO13)</f>
        <v>115038</v>
      </c>
      <c r="G13" s="141">
        <v>16412</v>
      </c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6">
        <v>8400</v>
      </c>
      <c r="V13" s="65"/>
      <c r="W13" s="65"/>
      <c r="X13" s="65"/>
      <c r="Y13" s="65"/>
      <c r="Z13" s="65"/>
      <c r="AA13" s="65"/>
      <c r="AB13" s="65"/>
      <c r="AC13" s="66">
        <v>22344</v>
      </c>
      <c r="AD13" s="65"/>
      <c r="AE13" s="65"/>
      <c r="AF13" s="67"/>
      <c r="AG13" s="66">
        <v>74928</v>
      </c>
      <c r="AH13" s="65"/>
      <c r="AI13" s="65">
        <v>16412</v>
      </c>
      <c r="AJ13" s="65"/>
      <c r="AK13" s="65"/>
      <c r="AL13" s="65"/>
      <c r="AM13" s="65"/>
      <c r="AN13" s="71"/>
      <c r="AO13" s="66">
        <v>9366</v>
      </c>
      <c r="AP13" s="65"/>
      <c r="AQ13" s="65"/>
      <c r="AR13" s="69"/>
      <c r="AS13" s="69"/>
      <c r="AT13" s="71"/>
      <c r="AU13" s="71"/>
    </row>
    <row r="14" spans="1:47" s="51" customFormat="1" ht="116.25" thickTop="1" thickBot="1">
      <c r="A14" s="80">
        <v>2</v>
      </c>
      <c r="B14" s="142" t="s">
        <v>6</v>
      </c>
      <c r="C14" s="143">
        <v>2</v>
      </c>
      <c r="D14" s="144"/>
      <c r="E14" s="144"/>
      <c r="F14" s="145"/>
      <c r="G14" s="145"/>
      <c r="H14" s="16"/>
      <c r="I14" s="15"/>
      <c r="J14" s="16" t="s">
        <v>701</v>
      </c>
      <c r="K14" s="65">
        <f>3048+878</f>
        <v>3926</v>
      </c>
      <c r="L14" s="15"/>
      <c r="M14" s="15"/>
      <c r="N14" s="15"/>
      <c r="O14" s="15"/>
      <c r="P14" s="15"/>
      <c r="Q14" s="15"/>
      <c r="R14" s="15"/>
      <c r="S14" s="15"/>
      <c r="T14" s="18" t="s">
        <v>503</v>
      </c>
      <c r="U14" s="14">
        <v>6000</v>
      </c>
      <c r="V14" s="13" t="s">
        <v>324</v>
      </c>
      <c r="W14" s="57">
        <f>2824+407+102</f>
        <v>3333</v>
      </c>
      <c r="X14" s="18" t="s">
        <v>593</v>
      </c>
      <c r="Y14" s="15">
        <v>6000</v>
      </c>
      <c r="Z14" s="13"/>
      <c r="AA14" s="13"/>
      <c r="AB14" s="19"/>
      <c r="AC14" s="57"/>
      <c r="AD14" s="13" t="s">
        <v>702</v>
      </c>
      <c r="AE14" s="21">
        <f>3699+3942+4340</f>
        <v>11981</v>
      </c>
      <c r="AF14" s="19" t="s">
        <v>631</v>
      </c>
      <c r="AG14" s="16" t="s">
        <v>184</v>
      </c>
      <c r="AH14" s="146" t="s">
        <v>632</v>
      </c>
      <c r="AI14" s="147">
        <f>15405+9431+1107+1460+6275</f>
        <v>33678</v>
      </c>
      <c r="AJ14" s="15"/>
      <c r="AK14" s="15"/>
      <c r="AL14" s="57"/>
      <c r="AM14" s="21"/>
      <c r="AN14" s="16" t="s">
        <v>153</v>
      </c>
      <c r="AO14" s="14">
        <v>3864</v>
      </c>
      <c r="AP14" s="147" t="s">
        <v>633</v>
      </c>
      <c r="AQ14" s="148">
        <f>1801+11633+9676+9676</f>
        <v>32786</v>
      </c>
      <c r="AR14" s="149"/>
      <c r="AS14" s="149"/>
      <c r="AT14" s="26"/>
      <c r="AU14" s="26"/>
    </row>
    <row r="15" spans="1:47" s="51" customFormat="1" ht="77.25" thickTop="1">
      <c r="A15" s="81"/>
      <c r="B15" s="150"/>
      <c r="C15" s="151"/>
      <c r="D15" s="152"/>
      <c r="E15" s="152"/>
      <c r="F15" s="152"/>
      <c r="G15" s="152"/>
      <c r="H15" s="153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134" t="s">
        <v>605</v>
      </c>
      <c r="Y15" s="78">
        <v>500</v>
      </c>
      <c r="Z15" s="78"/>
      <c r="AA15" s="78"/>
      <c r="AB15" s="136"/>
      <c r="AC15" s="78"/>
      <c r="AD15" s="78"/>
      <c r="AE15" s="154"/>
      <c r="AF15" s="136" t="s">
        <v>155</v>
      </c>
      <c r="AG15" s="153" t="s">
        <v>156</v>
      </c>
      <c r="AH15" s="155" t="s">
        <v>582</v>
      </c>
      <c r="AI15" s="156">
        <v>18465</v>
      </c>
      <c r="AJ15" s="78"/>
      <c r="AK15" s="78"/>
      <c r="AL15" s="78"/>
      <c r="AM15" s="154"/>
      <c r="AN15" s="153" t="s">
        <v>154</v>
      </c>
      <c r="AO15" s="154">
        <v>1808</v>
      </c>
      <c r="AP15" s="156"/>
      <c r="AQ15" s="157"/>
      <c r="AR15" s="158"/>
      <c r="AS15" s="158"/>
      <c r="AT15" s="159"/>
      <c r="AU15" s="159"/>
    </row>
    <row r="16" spans="1:47" s="51" customFormat="1" ht="13.5" thickBot="1">
      <c r="A16" s="82"/>
      <c r="B16" s="138" t="s">
        <v>21</v>
      </c>
      <c r="C16" s="160"/>
      <c r="D16" s="161">
        <v>133459.5</v>
      </c>
      <c r="E16" s="161">
        <v>-8330.3799999999992</v>
      </c>
      <c r="F16" s="64">
        <f>SUM(I16,M16,Q16,U16,Y16,AC16,AG16,AK16,AO16,AS16)</f>
        <v>90146</v>
      </c>
      <c r="G16" s="64">
        <v>104169</v>
      </c>
      <c r="H16" s="65"/>
      <c r="I16" s="65"/>
      <c r="J16" s="65"/>
      <c r="K16" s="65">
        <f>3048+878</f>
        <v>3926</v>
      </c>
      <c r="L16" s="65"/>
      <c r="M16" s="65"/>
      <c r="N16" s="65"/>
      <c r="O16" s="65"/>
      <c r="P16" s="65"/>
      <c r="Q16" s="65"/>
      <c r="R16" s="65"/>
      <c r="S16" s="65"/>
      <c r="T16" s="65"/>
      <c r="U16" s="66">
        <v>6000</v>
      </c>
      <c r="V16" s="65"/>
      <c r="W16" s="65">
        <f>W14</f>
        <v>3333</v>
      </c>
      <c r="X16" s="65"/>
      <c r="Y16" s="65">
        <v>6500</v>
      </c>
      <c r="Z16" s="65"/>
      <c r="AA16" s="65"/>
      <c r="AB16" s="65"/>
      <c r="AC16" s="65"/>
      <c r="AD16" s="65"/>
      <c r="AE16" s="66">
        <f>AE14</f>
        <v>11981</v>
      </c>
      <c r="AF16" s="67"/>
      <c r="AG16" s="66">
        <v>71974</v>
      </c>
      <c r="AH16" s="65"/>
      <c r="AI16" s="65">
        <f>AI15+AI14</f>
        <v>52143</v>
      </c>
      <c r="AJ16" s="65"/>
      <c r="AK16" s="65"/>
      <c r="AL16" s="65"/>
      <c r="AM16" s="66"/>
      <c r="AN16" s="65"/>
      <c r="AO16" s="66">
        <v>5672</v>
      </c>
      <c r="AP16" s="65"/>
      <c r="AQ16" s="66">
        <f>AQ14</f>
        <v>32786</v>
      </c>
      <c r="AR16" s="69"/>
      <c r="AS16" s="69"/>
      <c r="AT16" s="71"/>
      <c r="AU16" s="71"/>
    </row>
    <row r="17" spans="1:47" s="51" customFormat="1" ht="115.5" thickTop="1">
      <c r="A17" s="80">
        <v>3</v>
      </c>
      <c r="B17" s="142" t="s">
        <v>6</v>
      </c>
      <c r="C17" s="143">
        <v>6</v>
      </c>
      <c r="D17" s="162"/>
      <c r="E17" s="163"/>
      <c r="F17" s="145"/>
      <c r="G17" s="14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8" t="s">
        <v>498</v>
      </c>
      <c r="U17" s="14">
        <v>4500</v>
      </c>
      <c r="V17" s="15"/>
      <c r="W17" s="15"/>
      <c r="X17" s="16" t="s">
        <v>116</v>
      </c>
      <c r="Y17" s="15"/>
      <c r="Z17" s="15"/>
      <c r="AA17" s="15"/>
      <c r="AB17" s="16" t="s">
        <v>157</v>
      </c>
      <c r="AC17" s="14">
        <v>26068</v>
      </c>
      <c r="AD17" s="16" t="s">
        <v>428</v>
      </c>
      <c r="AE17" s="16" t="s">
        <v>703</v>
      </c>
      <c r="AF17" s="24" t="s">
        <v>657</v>
      </c>
      <c r="AG17" s="16" t="s">
        <v>183</v>
      </c>
      <c r="AH17" s="15"/>
      <c r="AI17" s="15"/>
      <c r="AJ17" s="15"/>
      <c r="AK17" s="15"/>
      <c r="AL17" s="16" t="s">
        <v>583</v>
      </c>
      <c r="AM17" s="16">
        <v>27055</v>
      </c>
      <c r="AN17" s="15"/>
      <c r="AO17" s="15"/>
      <c r="AP17" s="15"/>
      <c r="AQ17" s="14"/>
      <c r="AR17" s="149"/>
      <c r="AS17" s="149"/>
      <c r="AT17" s="26"/>
      <c r="AU17" s="26"/>
    </row>
    <row r="18" spans="1:47" s="51" customFormat="1" ht="89.25">
      <c r="A18" s="81"/>
      <c r="B18" s="164"/>
      <c r="C18" s="165"/>
      <c r="D18" s="166"/>
      <c r="E18" s="167"/>
      <c r="F18" s="167"/>
      <c r="G18" s="167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134" t="s">
        <v>499</v>
      </c>
      <c r="U18" s="154">
        <v>6400</v>
      </c>
      <c r="V18" s="153" t="s">
        <v>368</v>
      </c>
      <c r="W18" s="153">
        <v>8147</v>
      </c>
      <c r="X18" s="153"/>
      <c r="Y18" s="78"/>
      <c r="Z18" s="78"/>
      <c r="AA18" s="78"/>
      <c r="AB18" s="78"/>
      <c r="AC18" s="154"/>
      <c r="AD18" s="78"/>
      <c r="AE18" s="78"/>
      <c r="AF18" s="136"/>
      <c r="AG18" s="153"/>
      <c r="AH18" s="78"/>
      <c r="AI18" s="78"/>
      <c r="AJ18" s="78"/>
      <c r="AK18" s="78"/>
      <c r="AL18" s="78"/>
      <c r="AM18" s="78"/>
      <c r="AN18" s="78"/>
      <c r="AO18" s="78"/>
      <c r="AP18" s="78"/>
      <c r="AQ18" s="154"/>
      <c r="AR18" s="158"/>
      <c r="AS18" s="158"/>
      <c r="AT18" s="159"/>
      <c r="AU18" s="159"/>
    </row>
    <row r="19" spans="1:47" s="51" customFormat="1" ht="127.5">
      <c r="A19" s="81"/>
      <c r="B19" s="150"/>
      <c r="C19" s="151"/>
      <c r="D19" s="168"/>
      <c r="E19" s="152"/>
      <c r="F19" s="152"/>
      <c r="G19" s="152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8" t="s">
        <v>597</v>
      </c>
      <c r="U19" s="127">
        <v>5250</v>
      </c>
      <c r="V19" s="18" t="s">
        <v>469</v>
      </c>
      <c r="W19" s="125">
        <v>10048</v>
      </c>
      <c r="X19" s="18"/>
      <c r="Y19" s="125"/>
      <c r="Z19" s="125"/>
      <c r="AA19" s="125"/>
      <c r="AB19" s="125"/>
      <c r="AC19" s="127"/>
      <c r="AD19" s="125"/>
      <c r="AE19" s="125"/>
      <c r="AF19" s="25"/>
      <c r="AG19" s="18"/>
      <c r="AH19" s="125"/>
      <c r="AI19" s="125"/>
      <c r="AJ19" s="125"/>
      <c r="AK19" s="125"/>
      <c r="AL19" s="125"/>
      <c r="AM19" s="125"/>
      <c r="AN19" s="125"/>
      <c r="AO19" s="125"/>
      <c r="AP19" s="125"/>
      <c r="AQ19" s="127"/>
      <c r="AR19" s="22"/>
      <c r="AS19" s="22"/>
      <c r="AT19" s="50"/>
      <c r="AU19" s="50"/>
    </row>
    <row r="20" spans="1:47" s="51" customFormat="1" ht="13.5" thickBot="1">
      <c r="A20" s="82"/>
      <c r="B20" s="169" t="s">
        <v>21</v>
      </c>
      <c r="C20" s="170"/>
      <c r="D20" s="63">
        <v>107652.2</v>
      </c>
      <c r="E20" s="63">
        <v>37162.339999999997</v>
      </c>
      <c r="F20" s="64">
        <f>SUM(I20,M20,Q20,U20,Y20,AC20,AG20,AK20,AO20,AS20)</f>
        <v>65336</v>
      </c>
      <c r="G20" s="64">
        <v>50588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6">
        <v>16150</v>
      </c>
      <c r="V20" s="65"/>
      <c r="W20" s="65">
        <f>W18+W19</f>
        <v>18195</v>
      </c>
      <c r="X20" s="65"/>
      <c r="Y20" s="65"/>
      <c r="Z20" s="65"/>
      <c r="AA20" s="65"/>
      <c r="AB20" s="65"/>
      <c r="AC20" s="66">
        <v>26068</v>
      </c>
      <c r="AD20" s="65"/>
      <c r="AE20" s="65">
        <f>3352+1986</f>
        <v>5338</v>
      </c>
      <c r="AF20" s="67"/>
      <c r="AG20" s="66">
        <v>23118</v>
      </c>
      <c r="AH20" s="65"/>
      <c r="AI20" s="65"/>
      <c r="AJ20" s="65"/>
      <c r="AK20" s="65"/>
      <c r="AL20" s="65"/>
      <c r="AM20" s="65">
        <v>27055</v>
      </c>
      <c r="AN20" s="68"/>
      <c r="AO20" s="65"/>
      <c r="AP20" s="65"/>
      <c r="AQ20" s="66"/>
      <c r="AR20" s="69"/>
      <c r="AS20" s="69"/>
      <c r="AT20" s="71"/>
      <c r="AU20" s="71"/>
    </row>
    <row r="21" spans="1:47" s="51" customFormat="1" ht="64.5" thickTop="1">
      <c r="A21" s="80">
        <v>4</v>
      </c>
      <c r="B21" s="142" t="s">
        <v>6</v>
      </c>
      <c r="C21" s="143">
        <v>8</v>
      </c>
      <c r="D21" s="171"/>
      <c r="E21" s="171"/>
      <c r="F21" s="106"/>
      <c r="G21" s="75"/>
      <c r="H21" s="15"/>
      <c r="I21" s="15"/>
      <c r="J21" s="16" t="s">
        <v>705</v>
      </c>
      <c r="K21" s="16">
        <f>40168+39928+30235+3925</f>
        <v>114256</v>
      </c>
      <c r="L21" s="15"/>
      <c r="M21" s="15"/>
      <c r="N21" s="15"/>
      <c r="O21" s="15"/>
      <c r="P21" s="16" t="s">
        <v>521</v>
      </c>
      <c r="Q21" s="14">
        <v>10000</v>
      </c>
      <c r="R21" s="16" t="s">
        <v>361</v>
      </c>
      <c r="S21" s="16">
        <v>11288</v>
      </c>
      <c r="T21" s="18" t="s">
        <v>503</v>
      </c>
      <c r="U21" s="14">
        <v>6000</v>
      </c>
      <c r="V21" s="15"/>
      <c r="W21" s="15"/>
      <c r="X21" s="15"/>
      <c r="Y21" s="15"/>
      <c r="Z21" s="57"/>
      <c r="AA21" s="57"/>
      <c r="AB21" s="19" t="s">
        <v>158</v>
      </c>
      <c r="AC21" s="14">
        <v>16758</v>
      </c>
      <c r="AD21" s="16" t="s">
        <v>207</v>
      </c>
      <c r="AE21" s="20">
        <v>3255</v>
      </c>
      <c r="AF21" s="24" t="s">
        <v>659</v>
      </c>
      <c r="AG21" s="16" t="s">
        <v>182</v>
      </c>
      <c r="AH21" s="16" t="s">
        <v>327</v>
      </c>
      <c r="AI21" s="16">
        <f>8733+5503</f>
        <v>14236</v>
      </c>
      <c r="AJ21" s="15"/>
      <c r="AK21" s="15"/>
      <c r="AL21" s="15"/>
      <c r="AM21" s="15"/>
      <c r="AN21" s="24"/>
      <c r="AO21" s="15"/>
      <c r="AP21" s="16" t="s">
        <v>704</v>
      </c>
      <c r="AQ21" s="16">
        <v>1358</v>
      </c>
      <c r="AR21" s="149"/>
      <c r="AS21" s="149"/>
      <c r="AT21" s="26"/>
      <c r="AU21" s="26"/>
    </row>
    <row r="22" spans="1:47" s="51" customFormat="1" ht="89.25">
      <c r="A22" s="81"/>
      <c r="B22" s="150"/>
      <c r="C22" s="151"/>
      <c r="D22" s="107"/>
      <c r="E22" s="107"/>
      <c r="F22" s="107"/>
      <c r="G22" s="78"/>
      <c r="H22" s="78"/>
      <c r="I22" s="78"/>
      <c r="J22" s="78"/>
      <c r="K22" s="78"/>
      <c r="L22" s="78"/>
      <c r="M22" s="78"/>
      <c r="N22" s="78"/>
      <c r="O22" s="78"/>
      <c r="P22" s="153"/>
      <c r="Q22" s="154"/>
      <c r="R22" s="78"/>
      <c r="S22" s="78"/>
      <c r="T22" s="134" t="s">
        <v>499</v>
      </c>
      <c r="U22" s="154">
        <v>6400</v>
      </c>
      <c r="V22" s="153" t="s">
        <v>387</v>
      </c>
      <c r="W22" s="153">
        <f>407+634</f>
        <v>1041</v>
      </c>
      <c r="X22" s="78"/>
      <c r="Y22" s="78"/>
      <c r="Z22" s="78"/>
      <c r="AA22" s="78"/>
      <c r="AB22" s="136"/>
      <c r="AC22" s="154"/>
      <c r="AD22" s="153"/>
      <c r="AE22" s="154"/>
      <c r="AF22" s="136"/>
      <c r="AG22" s="153"/>
      <c r="AH22" s="78"/>
      <c r="AI22" s="78"/>
      <c r="AJ22" s="78"/>
      <c r="AK22" s="78"/>
      <c r="AL22" s="78"/>
      <c r="AM22" s="78"/>
      <c r="AN22" s="136"/>
      <c r="AO22" s="78"/>
      <c r="AP22" s="153"/>
      <c r="AQ22" s="153"/>
      <c r="AR22" s="158"/>
      <c r="AS22" s="158"/>
      <c r="AT22" s="159"/>
      <c r="AU22" s="159"/>
    </row>
    <row r="23" spans="1:47" s="51" customFormat="1" ht="13.5" thickBot="1">
      <c r="A23" s="82"/>
      <c r="B23" s="169" t="s">
        <v>21</v>
      </c>
      <c r="C23" s="170"/>
      <c r="D23" s="63">
        <v>135124.20000000001</v>
      </c>
      <c r="E23" s="63">
        <v>57972.51</v>
      </c>
      <c r="F23" s="172">
        <f>SUM(I23,M23,Q23,U23,Y23,AC23,AG23,AK23,AO23,AS23)</f>
        <v>64628</v>
      </c>
      <c r="G23" s="64">
        <v>145434</v>
      </c>
      <c r="H23" s="65"/>
      <c r="I23" s="65"/>
      <c r="J23" s="65"/>
      <c r="K23" s="65">
        <f>K21</f>
        <v>114256</v>
      </c>
      <c r="L23" s="65"/>
      <c r="M23" s="65"/>
      <c r="N23" s="65"/>
      <c r="O23" s="65"/>
      <c r="P23" s="65"/>
      <c r="Q23" s="66">
        <v>10000</v>
      </c>
      <c r="R23" s="65"/>
      <c r="S23" s="65">
        <v>11288</v>
      </c>
      <c r="T23" s="65"/>
      <c r="U23" s="66">
        <v>12400</v>
      </c>
      <c r="V23" s="65"/>
      <c r="W23" s="65">
        <f>W22</f>
        <v>1041</v>
      </c>
      <c r="X23" s="65"/>
      <c r="Y23" s="65"/>
      <c r="Z23" s="65"/>
      <c r="AA23" s="65"/>
      <c r="AB23" s="65"/>
      <c r="AC23" s="66">
        <v>16758</v>
      </c>
      <c r="AD23" s="65"/>
      <c r="AE23" s="66">
        <v>3255</v>
      </c>
      <c r="AF23" s="67"/>
      <c r="AG23" s="66">
        <v>25470</v>
      </c>
      <c r="AH23" s="65"/>
      <c r="AI23" s="65">
        <f>AI21</f>
        <v>14236</v>
      </c>
      <c r="AJ23" s="65"/>
      <c r="AK23" s="65"/>
      <c r="AL23" s="65"/>
      <c r="AM23" s="65"/>
      <c r="AN23" s="68"/>
      <c r="AO23" s="65"/>
      <c r="AP23" s="65"/>
      <c r="AQ23" s="66">
        <f>AQ21+AQ22</f>
        <v>1358</v>
      </c>
      <c r="AR23" s="69"/>
      <c r="AS23" s="69"/>
      <c r="AT23" s="71"/>
      <c r="AU23" s="71"/>
    </row>
    <row r="24" spans="1:47" s="51" customFormat="1" ht="153.75" thickTop="1">
      <c r="A24" s="80">
        <v>5</v>
      </c>
      <c r="B24" s="142" t="s">
        <v>6</v>
      </c>
      <c r="C24" s="143">
        <v>10</v>
      </c>
      <c r="D24" s="171"/>
      <c r="E24" s="171"/>
      <c r="F24" s="106"/>
      <c r="G24" s="106"/>
      <c r="H24" s="15"/>
      <c r="I24" s="15"/>
      <c r="J24" s="16" t="s">
        <v>706</v>
      </c>
      <c r="K24" s="173" t="s">
        <v>707</v>
      </c>
      <c r="L24" s="15"/>
      <c r="M24" s="15"/>
      <c r="N24" s="15"/>
      <c r="O24" s="15"/>
      <c r="P24" s="16"/>
      <c r="Q24" s="15"/>
      <c r="R24" s="15"/>
      <c r="S24" s="15"/>
      <c r="T24" s="18" t="s">
        <v>503</v>
      </c>
      <c r="U24" s="14">
        <v>6000</v>
      </c>
      <c r="V24" s="15"/>
      <c r="W24" s="15"/>
      <c r="X24" s="16" t="s">
        <v>544</v>
      </c>
      <c r="Y24" s="14">
        <v>15000</v>
      </c>
      <c r="Z24" s="57"/>
      <c r="AA24" s="174"/>
      <c r="AB24" s="19" t="s">
        <v>162</v>
      </c>
      <c r="AC24" s="14">
        <v>29792</v>
      </c>
      <c r="AD24" s="16" t="s">
        <v>369</v>
      </c>
      <c r="AE24" s="16" t="s">
        <v>370</v>
      </c>
      <c r="AF24" s="24" t="s">
        <v>161</v>
      </c>
      <c r="AG24" s="16" t="s">
        <v>181</v>
      </c>
      <c r="AH24" s="16" t="s">
        <v>336</v>
      </c>
      <c r="AI24" s="16">
        <f>5591+2818+7991</f>
        <v>16400</v>
      </c>
      <c r="AJ24" s="175"/>
      <c r="AK24" s="15"/>
      <c r="AL24" s="15"/>
      <c r="AM24" s="15"/>
      <c r="AN24" s="24" t="s">
        <v>159</v>
      </c>
      <c r="AO24" s="16" t="s">
        <v>160</v>
      </c>
      <c r="AP24" s="16" t="s">
        <v>358</v>
      </c>
      <c r="AQ24" s="15">
        <v>3440</v>
      </c>
      <c r="AR24" s="149"/>
      <c r="AS24" s="149"/>
      <c r="AT24" s="26"/>
      <c r="AU24" s="26"/>
    </row>
    <row r="25" spans="1:47" s="51" customFormat="1" ht="127.5">
      <c r="A25" s="81"/>
      <c r="B25" s="150"/>
      <c r="C25" s="151"/>
      <c r="D25" s="107"/>
      <c r="E25" s="107"/>
      <c r="F25" s="107"/>
      <c r="G25" s="107"/>
      <c r="H25" s="78"/>
      <c r="I25" s="78"/>
      <c r="J25" s="153" t="s">
        <v>708</v>
      </c>
      <c r="K25" s="176" t="s">
        <v>709</v>
      </c>
      <c r="L25" s="78"/>
      <c r="M25" s="78"/>
      <c r="N25" s="78"/>
      <c r="O25" s="78"/>
      <c r="P25" s="153"/>
      <c r="Q25" s="78"/>
      <c r="R25" s="78"/>
      <c r="S25" s="78"/>
      <c r="T25" s="134" t="s">
        <v>499</v>
      </c>
      <c r="U25" s="154">
        <v>6400</v>
      </c>
      <c r="V25" s="78"/>
      <c r="W25" s="78"/>
      <c r="X25" s="153"/>
      <c r="Y25" s="154"/>
      <c r="Z25" s="78"/>
      <c r="AA25" s="177"/>
      <c r="AB25" s="136"/>
      <c r="AC25" s="154"/>
      <c r="AD25" s="78"/>
      <c r="AE25" s="78"/>
      <c r="AF25" s="136"/>
      <c r="AG25" s="153"/>
      <c r="AH25" s="153" t="s">
        <v>584</v>
      </c>
      <c r="AI25" s="153">
        <v>10720</v>
      </c>
      <c r="AJ25" s="155"/>
      <c r="AK25" s="78"/>
      <c r="AL25" s="78"/>
      <c r="AM25" s="78"/>
      <c r="AN25" s="136"/>
      <c r="AO25" s="153"/>
      <c r="AP25" s="153"/>
      <c r="AQ25" s="78"/>
      <c r="AR25" s="158"/>
      <c r="AS25" s="158"/>
      <c r="AT25" s="159"/>
      <c r="AU25" s="159"/>
    </row>
    <row r="26" spans="1:47" s="51" customFormat="1" ht="13.5" thickBot="1">
      <c r="A26" s="82"/>
      <c r="B26" s="169" t="s">
        <v>21</v>
      </c>
      <c r="C26" s="170"/>
      <c r="D26" s="63">
        <v>136076.20000000001</v>
      </c>
      <c r="E26" s="63">
        <v>-46117.34</v>
      </c>
      <c r="F26" s="64">
        <f>SUM(I26,M26,Q26,U26,Y26,AC26,AG26,AK26,AO26,AS26)</f>
        <v>181140</v>
      </c>
      <c r="G26" s="64">
        <v>125156</v>
      </c>
      <c r="H26" s="65"/>
      <c r="I26" s="65"/>
      <c r="J26" s="65"/>
      <c r="K26" s="65">
        <f>11269+63910+7850+1117</f>
        <v>84146</v>
      </c>
      <c r="L26" s="65"/>
      <c r="M26" s="65"/>
      <c r="N26" s="65"/>
      <c r="O26" s="65"/>
      <c r="P26" s="65"/>
      <c r="Q26" s="65"/>
      <c r="R26" s="65"/>
      <c r="S26" s="65"/>
      <c r="T26" s="65"/>
      <c r="U26" s="66">
        <v>12400</v>
      </c>
      <c r="V26" s="65"/>
      <c r="W26" s="65"/>
      <c r="X26" s="65"/>
      <c r="Y26" s="66">
        <v>15000</v>
      </c>
      <c r="Z26" s="65"/>
      <c r="AA26" s="178"/>
      <c r="AB26" s="65"/>
      <c r="AC26" s="66">
        <v>29792</v>
      </c>
      <c r="AD26" s="65"/>
      <c r="AE26" s="65">
        <f>7497+2953</f>
        <v>10450</v>
      </c>
      <c r="AF26" s="67"/>
      <c r="AG26" s="66">
        <v>114828</v>
      </c>
      <c r="AH26" s="65"/>
      <c r="AI26" s="65">
        <f>AI24+AI25</f>
        <v>27120</v>
      </c>
      <c r="AJ26" s="65"/>
      <c r="AK26" s="65"/>
      <c r="AL26" s="65"/>
      <c r="AM26" s="65"/>
      <c r="AN26" s="65"/>
      <c r="AO26" s="66">
        <v>9120</v>
      </c>
      <c r="AP26" s="65"/>
      <c r="AQ26" s="65">
        <v>3440</v>
      </c>
      <c r="AR26" s="69"/>
      <c r="AS26" s="69"/>
      <c r="AT26" s="71"/>
      <c r="AU26" s="71"/>
    </row>
    <row r="27" spans="1:47" s="51" customFormat="1" ht="114" customHeight="1" thickTop="1">
      <c r="A27" s="80">
        <v>6</v>
      </c>
      <c r="B27" s="179" t="s">
        <v>6</v>
      </c>
      <c r="C27" s="179">
        <v>12</v>
      </c>
      <c r="D27" s="163"/>
      <c r="E27" s="163"/>
      <c r="F27" s="145"/>
      <c r="G27" s="145"/>
      <c r="H27" s="16" t="s">
        <v>117</v>
      </c>
      <c r="I27" s="14">
        <v>1300</v>
      </c>
      <c r="J27" s="16" t="s">
        <v>700</v>
      </c>
      <c r="K27" s="20">
        <v>1662</v>
      </c>
      <c r="L27" s="15"/>
      <c r="M27" s="15"/>
      <c r="N27" s="15"/>
      <c r="O27" s="15"/>
      <c r="P27" s="16" t="s">
        <v>602</v>
      </c>
      <c r="Q27" s="14">
        <v>11000</v>
      </c>
      <c r="R27" s="15"/>
      <c r="S27" s="15"/>
      <c r="T27" s="18" t="s">
        <v>503</v>
      </c>
      <c r="U27" s="14">
        <v>6000</v>
      </c>
      <c r="V27" s="57"/>
      <c r="W27" s="57"/>
      <c r="X27" s="18" t="s">
        <v>607</v>
      </c>
      <c r="Y27" s="14">
        <v>9000</v>
      </c>
      <c r="Z27" s="13" t="s">
        <v>711</v>
      </c>
      <c r="AA27" s="13" t="s">
        <v>710</v>
      </c>
      <c r="AB27" s="19" t="s">
        <v>152</v>
      </c>
      <c r="AC27" s="14">
        <v>22344</v>
      </c>
      <c r="AD27" s="13"/>
      <c r="AE27" s="13"/>
      <c r="AF27" s="19" t="s">
        <v>165</v>
      </c>
      <c r="AG27" s="16" t="s">
        <v>180</v>
      </c>
      <c r="AH27" s="16" t="s">
        <v>444</v>
      </c>
      <c r="AI27" s="16">
        <v>27905</v>
      </c>
      <c r="AJ27" s="15"/>
      <c r="AK27" s="15"/>
      <c r="AL27" s="57"/>
      <c r="AM27" s="21"/>
      <c r="AN27" s="25" t="s">
        <v>164</v>
      </c>
      <c r="AO27" s="20">
        <v>4014</v>
      </c>
      <c r="AP27" s="16" t="s">
        <v>712</v>
      </c>
      <c r="AQ27" s="15">
        <v>1208</v>
      </c>
      <c r="AR27" s="149"/>
      <c r="AS27" s="149"/>
      <c r="AT27" s="26"/>
      <c r="AU27" s="26"/>
    </row>
    <row r="28" spans="1:47" s="51" customFormat="1" ht="89.25">
      <c r="A28" s="81"/>
      <c r="B28" s="180"/>
      <c r="C28" s="180"/>
      <c r="D28" s="152"/>
      <c r="E28" s="152"/>
      <c r="F28" s="152"/>
      <c r="G28" s="152"/>
      <c r="H28" s="13" t="s">
        <v>118</v>
      </c>
      <c r="I28" s="154">
        <v>25000</v>
      </c>
      <c r="J28" s="78"/>
      <c r="K28" s="78"/>
      <c r="L28" s="78"/>
      <c r="M28" s="78"/>
      <c r="N28" s="78"/>
      <c r="O28" s="78"/>
      <c r="P28" s="153"/>
      <c r="Q28" s="78"/>
      <c r="R28" s="78"/>
      <c r="S28" s="78"/>
      <c r="T28" s="134" t="s">
        <v>499</v>
      </c>
      <c r="U28" s="154">
        <v>6400</v>
      </c>
      <c r="V28" s="78"/>
      <c r="W28" s="78"/>
      <c r="X28" s="132"/>
      <c r="Y28" s="78"/>
      <c r="Z28" s="78"/>
      <c r="AA28" s="78"/>
      <c r="AB28" s="136"/>
      <c r="AC28" s="78"/>
      <c r="AD28" s="153"/>
      <c r="AE28" s="154"/>
      <c r="AF28" s="136"/>
      <c r="AG28" s="78"/>
      <c r="AH28" s="153" t="s">
        <v>585</v>
      </c>
      <c r="AI28" s="154">
        <v>17097</v>
      </c>
      <c r="AJ28" s="78"/>
      <c r="AK28" s="78"/>
      <c r="AL28" s="78"/>
      <c r="AM28" s="78"/>
      <c r="AN28" s="181" t="s">
        <v>163</v>
      </c>
      <c r="AO28" s="154">
        <v>5352</v>
      </c>
      <c r="AP28" s="78"/>
      <c r="AQ28" s="78"/>
      <c r="AR28" s="22"/>
      <c r="AS28" s="22"/>
      <c r="AT28" s="50"/>
      <c r="AU28" s="50"/>
    </row>
    <row r="29" spans="1:47" s="51" customFormat="1" ht="13.5" thickBot="1">
      <c r="A29" s="82"/>
      <c r="B29" s="169" t="s">
        <v>21</v>
      </c>
      <c r="C29" s="170"/>
      <c r="D29" s="63">
        <v>134650.9</v>
      </c>
      <c r="E29" s="63">
        <v>-106863.98</v>
      </c>
      <c r="F29" s="64">
        <f>SUM(I29,Q29,U29,Y29,AC29,AG29,AK29,AO29,AS29)</f>
        <v>172232</v>
      </c>
      <c r="G29" s="64">
        <v>55340</v>
      </c>
      <c r="H29" s="65"/>
      <c r="I29" s="66">
        <v>26300</v>
      </c>
      <c r="J29" s="65"/>
      <c r="K29" s="66">
        <v>1662</v>
      </c>
      <c r="L29" s="65"/>
      <c r="M29" s="65"/>
      <c r="N29" s="65"/>
      <c r="O29" s="65"/>
      <c r="P29" s="65"/>
      <c r="Q29" s="66">
        <v>11000</v>
      </c>
      <c r="R29" s="65"/>
      <c r="S29" s="65"/>
      <c r="T29" s="65"/>
      <c r="U29" s="66">
        <v>12400</v>
      </c>
      <c r="V29" s="65"/>
      <c r="W29" s="65"/>
      <c r="X29" s="65"/>
      <c r="Y29" s="66">
        <v>9000</v>
      </c>
      <c r="Z29" s="65"/>
      <c r="AA29" s="65">
        <f>4835+2633</f>
        <v>7468</v>
      </c>
      <c r="AB29" s="65"/>
      <c r="AC29" s="66">
        <v>22344</v>
      </c>
      <c r="AD29" s="65"/>
      <c r="AE29" s="66"/>
      <c r="AF29" s="67"/>
      <c r="AG29" s="66">
        <v>81822</v>
      </c>
      <c r="AH29" s="65"/>
      <c r="AI29" s="66">
        <f>AI27+AI28</f>
        <v>45002</v>
      </c>
      <c r="AJ29" s="65"/>
      <c r="AK29" s="65"/>
      <c r="AL29" s="65"/>
      <c r="AM29" s="66"/>
      <c r="AN29" s="65"/>
      <c r="AO29" s="66">
        <v>9366</v>
      </c>
      <c r="AP29" s="65"/>
      <c r="AQ29" s="65">
        <f>AQ27</f>
        <v>1208</v>
      </c>
      <c r="AR29" s="69"/>
      <c r="AS29" s="69"/>
      <c r="AT29" s="71"/>
      <c r="AU29" s="71"/>
    </row>
    <row r="30" spans="1:47" s="51" customFormat="1" ht="179.25" thickTop="1">
      <c r="A30" s="81">
        <v>7</v>
      </c>
      <c r="B30" s="142" t="s">
        <v>6</v>
      </c>
      <c r="C30" s="143">
        <v>14</v>
      </c>
      <c r="D30" s="171"/>
      <c r="E30" s="171"/>
      <c r="F30" s="106"/>
      <c r="G30" s="106"/>
      <c r="H30" s="13"/>
      <c r="I30" s="57"/>
      <c r="J30" s="13" t="s">
        <v>359</v>
      </c>
      <c r="K30" s="57">
        <v>94973</v>
      </c>
      <c r="L30" s="57"/>
      <c r="M30" s="57"/>
      <c r="N30" s="57"/>
      <c r="O30" s="57"/>
      <c r="P30" s="16" t="s">
        <v>602</v>
      </c>
      <c r="Q30" s="21">
        <v>11000</v>
      </c>
      <c r="R30" s="13" t="s">
        <v>714</v>
      </c>
      <c r="S30" s="57">
        <v>15169</v>
      </c>
      <c r="T30" s="18" t="s">
        <v>503</v>
      </c>
      <c r="U30" s="21">
        <v>6000</v>
      </c>
      <c r="V30" s="57"/>
      <c r="W30" s="57"/>
      <c r="X30" s="57"/>
      <c r="Y30" s="57"/>
      <c r="Z30" s="57"/>
      <c r="AA30" s="57"/>
      <c r="AB30" s="19" t="s">
        <v>162</v>
      </c>
      <c r="AC30" s="21">
        <v>29792</v>
      </c>
      <c r="AD30" s="13"/>
      <c r="AE30" s="182"/>
      <c r="AF30" s="19" t="s">
        <v>169</v>
      </c>
      <c r="AG30" s="13" t="s">
        <v>179</v>
      </c>
      <c r="AH30" s="13" t="s">
        <v>586</v>
      </c>
      <c r="AI30" s="13">
        <v>4923</v>
      </c>
      <c r="AJ30" s="175"/>
      <c r="AK30" s="57"/>
      <c r="AL30" s="57"/>
      <c r="AM30" s="57"/>
      <c r="AN30" s="24" t="s">
        <v>166</v>
      </c>
      <c r="AO30" s="13" t="s">
        <v>168</v>
      </c>
      <c r="AP30" s="13" t="s">
        <v>713</v>
      </c>
      <c r="AQ30" s="21">
        <v>9963</v>
      </c>
      <c r="AR30" s="149"/>
      <c r="AS30" s="149"/>
      <c r="AT30" s="26"/>
      <c r="AU30" s="26"/>
    </row>
    <row r="31" spans="1:47" s="51" customFormat="1" ht="89.25">
      <c r="A31" s="81"/>
      <c r="B31" s="129"/>
      <c r="C31" s="130"/>
      <c r="D31" s="109"/>
      <c r="E31" s="109"/>
      <c r="F31" s="110"/>
      <c r="G31" s="107"/>
      <c r="H31" s="13"/>
      <c r="I31" s="57"/>
      <c r="J31" s="13" t="s">
        <v>715</v>
      </c>
      <c r="K31" s="57">
        <f>2120+888</f>
        <v>3008</v>
      </c>
      <c r="L31" s="57"/>
      <c r="M31" s="57"/>
      <c r="N31" s="57"/>
      <c r="O31" s="57"/>
      <c r="P31" s="57"/>
      <c r="Q31" s="57"/>
      <c r="R31" s="13" t="s">
        <v>429</v>
      </c>
      <c r="S31" s="57">
        <v>15061</v>
      </c>
      <c r="T31" s="134" t="s">
        <v>499</v>
      </c>
      <c r="U31" s="21">
        <v>6400</v>
      </c>
      <c r="V31" s="57"/>
      <c r="W31" s="57"/>
      <c r="X31" s="57"/>
      <c r="Y31" s="57"/>
      <c r="Z31" s="57"/>
      <c r="AA31" s="57"/>
      <c r="AB31" s="57"/>
      <c r="AC31" s="57"/>
      <c r="AD31" s="57"/>
      <c r="AE31" s="21"/>
      <c r="AF31" s="19"/>
      <c r="AG31" s="57"/>
      <c r="AH31" s="57"/>
      <c r="AI31" s="57"/>
      <c r="AJ31" s="57"/>
      <c r="AK31" s="57"/>
      <c r="AL31" s="57"/>
      <c r="AM31" s="57"/>
      <c r="AN31" s="25" t="s">
        <v>167</v>
      </c>
      <c r="AO31" s="21">
        <v>2676</v>
      </c>
      <c r="AP31" s="13" t="s">
        <v>445</v>
      </c>
      <c r="AQ31" s="21">
        <v>1325</v>
      </c>
      <c r="AR31" s="22"/>
      <c r="AS31" s="22"/>
      <c r="AT31" s="50"/>
      <c r="AU31" s="50"/>
    </row>
    <row r="32" spans="1:47" s="51" customFormat="1" ht="13.5" thickBot="1">
      <c r="A32" s="82"/>
      <c r="B32" s="169" t="s">
        <v>21</v>
      </c>
      <c r="C32" s="170"/>
      <c r="D32" s="63">
        <v>168977.3</v>
      </c>
      <c r="E32" s="63">
        <v>-13851.76</v>
      </c>
      <c r="F32" s="64">
        <f>SUM(I32,M32,Q32,U32,Y32,AC32,AG32,AK32,AO32,AS32)</f>
        <v>147578</v>
      </c>
      <c r="G32" s="66">
        <v>144422</v>
      </c>
      <c r="H32" s="65"/>
      <c r="I32" s="65"/>
      <c r="J32" s="65"/>
      <c r="K32" s="65">
        <f>K30+K31</f>
        <v>97981</v>
      </c>
      <c r="L32" s="65"/>
      <c r="M32" s="65"/>
      <c r="N32" s="65"/>
      <c r="O32" s="65"/>
      <c r="P32" s="65"/>
      <c r="Q32" s="66">
        <v>11000</v>
      </c>
      <c r="R32" s="65"/>
      <c r="S32" s="65">
        <f>S30+S31</f>
        <v>30230</v>
      </c>
      <c r="T32" s="65"/>
      <c r="U32" s="66">
        <v>12400</v>
      </c>
      <c r="V32" s="65"/>
      <c r="W32" s="65"/>
      <c r="X32" s="65"/>
      <c r="Y32" s="65"/>
      <c r="Z32" s="65"/>
      <c r="AA32" s="65"/>
      <c r="AB32" s="65"/>
      <c r="AC32" s="66">
        <v>29792</v>
      </c>
      <c r="AD32" s="65"/>
      <c r="AE32" s="66"/>
      <c r="AF32" s="67"/>
      <c r="AG32" s="66">
        <v>86780</v>
      </c>
      <c r="AH32" s="65"/>
      <c r="AI32" s="65">
        <f>AI30</f>
        <v>4923</v>
      </c>
      <c r="AJ32" s="65"/>
      <c r="AK32" s="65"/>
      <c r="AL32" s="65"/>
      <c r="AM32" s="65"/>
      <c r="AN32" s="68"/>
      <c r="AO32" s="66">
        <v>7606</v>
      </c>
      <c r="AP32" s="65"/>
      <c r="AQ32" s="66">
        <f>AQ30+AQ31</f>
        <v>11288</v>
      </c>
      <c r="AR32" s="69"/>
      <c r="AS32" s="69"/>
      <c r="AT32" s="71"/>
      <c r="AU32" s="71"/>
    </row>
    <row r="33" spans="1:47" s="51" customFormat="1" ht="192.75" thickTop="1" thickBot="1">
      <c r="A33" s="80">
        <v>8</v>
      </c>
      <c r="B33" s="142" t="s">
        <v>6</v>
      </c>
      <c r="C33" s="143">
        <v>18</v>
      </c>
      <c r="D33" s="171"/>
      <c r="E33" s="171"/>
      <c r="F33" s="106"/>
      <c r="G33" s="106"/>
      <c r="H33" s="13" t="s">
        <v>119</v>
      </c>
      <c r="I33" s="14">
        <v>2600</v>
      </c>
      <c r="J33" s="16" t="s">
        <v>371</v>
      </c>
      <c r="K33" s="16" t="s">
        <v>372</v>
      </c>
      <c r="L33" s="15"/>
      <c r="M33" s="15"/>
      <c r="N33" s="15"/>
      <c r="O33" s="15"/>
      <c r="P33" s="16" t="s">
        <v>595</v>
      </c>
      <c r="Q33" s="14">
        <v>11000</v>
      </c>
      <c r="R33" s="16" t="s">
        <v>717</v>
      </c>
      <c r="S33" s="16" t="s">
        <v>716</v>
      </c>
      <c r="T33" s="18" t="s">
        <v>564</v>
      </c>
      <c r="U33" s="14">
        <v>8000</v>
      </c>
      <c r="V33" s="16" t="s">
        <v>565</v>
      </c>
      <c r="W33" s="14">
        <v>2892</v>
      </c>
      <c r="X33" s="13"/>
      <c r="Y33" s="57"/>
      <c r="Z33" s="13" t="s">
        <v>359</v>
      </c>
      <c r="AA33" s="57">
        <v>61166</v>
      </c>
      <c r="AB33" s="19" t="s">
        <v>172</v>
      </c>
      <c r="AC33" s="14">
        <v>33516</v>
      </c>
      <c r="AD33" s="13" t="s">
        <v>587</v>
      </c>
      <c r="AE33" s="62" t="s">
        <v>719</v>
      </c>
      <c r="AF33" s="19" t="s">
        <v>171</v>
      </c>
      <c r="AG33" s="16" t="s">
        <v>178</v>
      </c>
      <c r="AH33" s="16" t="s">
        <v>446</v>
      </c>
      <c r="AI33" s="16">
        <f>781+12023+3997</f>
        <v>16801</v>
      </c>
      <c r="AJ33" s="15"/>
      <c r="AK33" s="15"/>
      <c r="AL33" s="15"/>
      <c r="AM33" s="14"/>
      <c r="AN33" s="24" t="s">
        <v>170</v>
      </c>
      <c r="AO33" s="21">
        <v>2712</v>
      </c>
      <c r="AP33" s="16" t="s">
        <v>667</v>
      </c>
      <c r="AQ33" s="16" t="s">
        <v>718</v>
      </c>
      <c r="AR33" s="149"/>
      <c r="AS33" s="149"/>
      <c r="AT33" s="26"/>
      <c r="AU33" s="26"/>
    </row>
    <row r="34" spans="1:47" s="51" customFormat="1" ht="167.25" thickTop="1" thickBot="1">
      <c r="A34" s="81"/>
      <c r="B34" s="183"/>
      <c r="C34" s="184"/>
      <c r="D34" s="108"/>
      <c r="E34" s="108"/>
      <c r="F34" s="110"/>
      <c r="G34" s="185"/>
      <c r="H34" s="13"/>
      <c r="I34" s="57"/>
      <c r="J34" s="13"/>
      <c r="K34" s="57"/>
      <c r="L34" s="57"/>
      <c r="M34" s="57"/>
      <c r="N34" s="57"/>
      <c r="O34" s="57"/>
      <c r="P34" s="13"/>
      <c r="Q34" s="125"/>
      <c r="R34" s="16" t="s">
        <v>588</v>
      </c>
      <c r="S34" s="57">
        <v>2386</v>
      </c>
      <c r="T34" s="134" t="s">
        <v>499</v>
      </c>
      <c r="U34" s="21">
        <v>6400</v>
      </c>
      <c r="V34" s="13" t="s">
        <v>392</v>
      </c>
      <c r="W34" s="21">
        <v>7511</v>
      </c>
      <c r="X34" s="125"/>
      <c r="Y34" s="125"/>
      <c r="Z34" s="57"/>
      <c r="AA34" s="57"/>
      <c r="AB34" s="57"/>
      <c r="AC34" s="57"/>
      <c r="AD34" s="57"/>
      <c r="AE34" s="57"/>
      <c r="AF34" s="19"/>
      <c r="AG34" s="57"/>
      <c r="AH34" s="13" t="s">
        <v>589</v>
      </c>
      <c r="AI34" s="62">
        <v>12251</v>
      </c>
      <c r="AJ34" s="57"/>
      <c r="AK34" s="57"/>
      <c r="AL34" s="57"/>
      <c r="AM34" s="57"/>
      <c r="AN34" s="25" t="s">
        <v>151</v>
      </c>
      <c r="AO34" s="21">
        <v>4014</v>
      </c>
      <c r="AP34" s="57" t="s">
        <v>31</v>
      </c>
      <c r="AQ34" s="57"/>
      <c r="AR34" s="22"/>
      <c r="AS34" s="22"/>
      <c r="AT34" s="50"/>
      <c r="AU34" s="50"/>
    </row>
    <row r="35" spans="1:47" s="51" customFormat="1" ht="14.25" thickTop="1" thickBot="1">
      <c r="A35" s="82"/>
      <c r="B35" s="138" t="s">
        <v>21</v>
      </c>
      <c r="C35" s="139"/>
      <c r="D35" s="161">
        <v>180428.5</v>
      </c>
      <c r="E35" s="161">
        <v>28102</v>
      </c>
      <c r="F35" s="64">
        <f>SUM(I35,M35,Q35,U35,Y35,AC35,AG35,AK35,AO35,AS35)</f>
        <v>199060</v>
      </c>
      <c r="G35" s="64">
        <v>150344</v>
      </c>
      <c r="H35" s="65"/>
      <c r="I35" s="66">
        <v>2600</v>
      </c>
      <c r="J35" s="65"/>
      <c r="K35" s="65">
        <f>2328+1549</f>
        <v>3877</v>
      </c>
      <c r="L35" s="65"/>
      <c r="M35" s="65"/>
      <c r="N35" s="65"/>
      <c r="O35" s="65"/>
      <c r="P35" s="65"/>
      <c r="Q35" s="66">
        <v>11000</v>
      </c>
      <c r="R35" s="65"/>
      <c r="S35" s="65">
        <f>6138+10055+2386</f>
        <v>18579</v>
      </c>
      <c r="T35" s="65"/>
      <c r="U35" s="66">
        <v>14400</v>
      </c>
      <c r="V35" s="65"/>
      <c r="W35" s="66">
        <f>7511+2892</f>
        <v>10403</v>
      </c>
      <c r="X35" s="65"/>
      <c r="Y35" s="65"/>
      <c r="Z35" s="65"/>
      <c r="AA35" s="65">
        <f>AA33</f>
        <v>61166</v>
      </c>
      <c r="AB35" s="65"/>
      <c r="AC35" s="66">
        <v>33516</v>
      </c>
      <c r="AD35" s="65"/>
      <c r="AE35" s="62">
        <f>8875+2669</f>
        <v>11544</v>
      </c>
      <c r="AF35" s="67"/>
      <c r="AG35" s="66">
        <v>130818</v>
      </c>
      <c r="AH35" s="65"/>
      <c r="AI35" s="66">
        <f>AI33+AI34</f>
        <v>29052</v>
      </c>
      <c r="AJ35" s="65"/>
      <c r="AK35" s="65"/>
      <c r="AL35" s="65"/>
      <c r="AM35" s="66"/>
      <c r="AN35" s="65"/>
      <c r="AO35" s="66">
        <v>6726</v>
      </c>
      <c r="AP35" s="65"/>
      <c r="AQ35" s="16">
        <f>5377+10346</f>
        <v>15723</v>
      </c>
      <c r="AR35" s="69"/>
      <c r="AS35" s="69"/>
      <c r="AT35" s="71"/>
      <c r="AU35" s="71"/>
    </row>
    <row r="36" spans="1:47" s="51" customFormat="1" ht="217.5" thickTop="1">
      <c r="A36" s="80">
        <v>9</v>
      </c>
      <c r="B36" s="183" t="s">
        <v>7</v>
      </c>
      <c r="C36" s="184">
        <v>1</v>
      </c>
      <c r="D36" s="186"/>
      <c r="E36" s="186"/>
      <c r="F36" s="187"/>
      <c r="G36" s="145"/>
      <c r="H36" s="188"/>
      <c r="I36" s="15"/>
      <c r="J36" s="16" t="s">
        <v>570</v>
      </c>
      <c r="K36" s="15">
        <v>80417</v>
      </c>
      <c r="L36" s="15"/>
      <c r="M36" s="15"/>
      <c r="N36" s="15"/>
      <c r="O36" s="15"/>
      <c r="P36" s="15"/>
      <c r="Q36" s="15"/>
      <c r="R36" s="15"/>
      <c r="S36" s="15"/>
      <c r="T36" s="18" t="s">
        <v>498</v>
      </c>
      <c r="U36" s="14">
        <v>4500</v>
      </c>
      <c r="V36" s="16" t="s">
        <v>474</v>
      </c>
      <c r="W36" s="16">
        <v>2567</v>
      </c>
      <c r="X36" s="16"/>
      <c r="Y36" s="15"/>
      <c r="Z36" s="57"/>
      <c r="AA36" s="57"/>
      <c r="AB36" s="19" t="s">
        <v>157</v>
      </c>
      <c r="AC36" s="21">
        <v>26068</v>
      </c>
      <c r="AD36" s="13" t="s">
        <v>344</v>
      </c>
      <c r="AE36" s="13">
        <f>15938+27799+3702+14487</f>
        <v>61926</v>
      </c>
      <c r="AF36" s="24" t="s">
        <v>173</v>
      </c>
      <c r="AG36" s="16" t="s">
        <v>177</v>
      </c>
      <c r="AH36" s="16" t="s">
        <v>373</v>
      </c>
      <c r="AI36" s="16">
        <f>16345+3153</f>
        <v>19498</v>
      </c>
      <c r="AJ36" s="15"/>
      <c r="AK36" s="15"/>
      <c r="AL36" s="57"/>
      <c r="AM36" s="57"/>
      <c r="AN36" s="25"/>
      <c r="AO36" s="15"/>
      <c r="AP36" s="16" t="s">
        <v>720</v>
      </c>
      <c r="AQ36" s="14">
        <v>13981</v>
      </c>
      <c r="AR36" s="149"/>
      <c r="AS36" s="149"/>
      <c r="AT36" s="26"/>
      <c r="AU36" s="26"/>
    </row>
    <row r="37" spans="1:47" s="51" customFormat="1" ht="89.25">
      <c r="A37" s="81"/>
      <c r="B37" s="150"/>
      <c r="C37" s="151"/>
      <c r="D37" s="152"/>
      <c r="E37" s="152"/>
      <c r="F37" s="152"/>
      <c r="G37" s="152"/>
      <c r="H37" s="159"/>
      <c r="I37" s="78"/>
      <c r="J37" s="153" t="s">
        <v>721</v>
      </c>
      <c r="K37" s="189">
        <f>1876+714</f>
        <v>2590</v>
      </c>
      <c r="L37" s="78"/>
      <c r="M37" s="78"/>
      <c r="N37" s="78"/>
      <c r="O37" s="78"/>
      <c r="P37" s="78"/>
      <c r="Q37" s="78"/>
      <c r="R37" s="78"/>
      <c r="S37" s="78"/>
      <c r="T37" s="134" t="s">
        <v>499</v>
      </c>
      <c r="U37" s="154">
        <v>6400</v>
      </c>
      <c r="V37" s="78"/>
      <c r="W37" s="78"/>
      <c r="X37" s="153"/>
      <c r="Y37" s="78"/>
      <c r="Z37" s="78"/>
      <c r="AA37" s="78"/>
      <c r="AB37" s="136"/>
      <c r="AC37" s="154"/>
      <c r="AD37" s="153" t="s">
        <v>472</v>
      </c>
      <c r="AE37" s="78">
        <v>7874</v>
      </c>
      <c r="AF37" s="136"/>
      <c r="AG37" s="153"/>
      <c r="AH37" s="78"/>
      <c r="AI37" s="78"/>
      <c r="AJ37" s="78"/>
      <c r="AK37" s="78"/>
      <c r="AL37" s="78"/>
      <c r="AM37" s="78"/>
      <c r="AN37" s="181"/>
      <c r="AO37" s="78"/>
      <c r="AP37" s="153" t="s">
        <v>473</v>
      </c>
      <c r="AQ37" s="154">
        <f>13981+2150</f>
        <v>16131</v>
      </c>
      <c r="AR37" s="158"/>
      <c r="AS37" s="158"/>
      <c r="AT37" s="159"/>
      <c r="AU37" s="159"/>
    </row>
    <row r="38" spans="1:47" s="51" customFormat="1" ht="13.5" thickBot="1">
      <c r="A38" s="82"/>
      <c r="B38" s="138" t="s">
        <v>21</v>
      </c>
      <c r="C38" s="139"/>
      <c r="D38" s="190">
        <v>80109.440000000002</v>
      </c>
      <c r="E38" s="190">
        <v>46988</v>
      </c>
      <c r="F38" s="191">
        <f>SUM(I38,M38,Q38,U38,Y38,AC38,AG38,AK38,AO38+AS38)</f>
        <v>83923</v>
      </c>
      <c r="G38" s="64">
        <v>204984</v>
      </c>
      <c r="H38" s="71"/>
      <c r="I38" s="71"/>
      <c r="J38" s="71"/>
      <c r="K38" s="192">
        <f>K37+K36</f>
        <v>83007</v>
      </c>
      <c r="L38" s="65"/>
      <c r="M38" s="65"/>
      <c r="N38" s="65"/>
      <c r="O38" s="65"/>
      <c r="P38" s="65"/>
      <c r="Q38" s="65"/>
      <c r="R38" s="65"/>
      <c r="S38" s="65"/>
      <c r="T38" s="65"/>
      <c r="U38" s="66">
        <v>10900</v>
      </c>
      <c r="V38" s="65"/>
      <c r="W38" s="65">
        <v>2567</v>
      </c>
      <c r="X38" s="65"/>
      <c r="Y38" s="65"/>
      <c r="Z38" s="65"/>
      <c r="AA38" s="65"/>
      <c r="AB38" s="65"/>
      <c r="AC38" s="66">
        <v>26068</v>
      </c>
      <c r="AD38" s="65"/>
      <c r="AE38" s="65">
        <f>AE36+AE37</f>
        <v>69800</v>
      </c>
      <c r="AF38" s="67"/>
      <c r="AG38" s="66">
        <v>46955</v>
      </c>
      <c r="AH38" s="65"/>
      <c r="AI38" s="65">
        <f>AI36</f>
        <v>19498</v>
      </c>
      <c r="AJ38" s="65"/>
      <c r="AK38" s="65"/>
      <c r="AL38" s="65"/>
      <c r="AM38" s="65"/>
      <c r="AN38" s="65"/>
      <c r="AO38" s="65"/>
      <c r="AP38" s="65"/>
      <c r="AQ38" s="66">
        <f>AQ37+AQ36</f>
        <v>30112</v>
      </c>
      <c r="AR38" s="69"/>
      <c r="AS38" s="69"/>
      <c r="AT38" s="71"/>
      <c r="AU38" s="71"/>
    </row>
    <row r="39" spans="1:47" s="51" customFormat="1" ht="116.25" thickTop="1" thickBot="1">
      <c r="A39" s="81">
        <v>10</v>
      </c>
      <c r="B39" s="142" t="s">
        <v>7</v>
      </c>
      <c r="C39" s="143">
        <v>2</v>
      </c>
      <c r="D39" s="171"/>
      <c r="E39" s="171"/>
      <c r="F39" s="106"/>
      <c r="G39" s="106"/>
      <c r="H39" s="13"/>
      <c r="I39" s="57"/>
      <c r="J39" s="57"/>
      <c r="K39" s="21"/>
      <c r="L39" s="15"/>
      <c r="M39" s="15"/>
      <c r="N39" s="15"/>
      <c r="O39" s="15"/>
      <c r="P39" s="16" t="s">
        <v>120</v>
      </c>
      <c r="Q39" s="14">
        <v>12000</v>
      </c>
      <c r="R39" s="15"/>
      <c r="S39" s="14"/>
      <c r="T39" s="18" t="s">
        <v>498</v>
      </c>
      <c r="U39" s="14">
        <v>4500</v>
      </c>
      <c r="V39" s="15"/>
      <c r="W39" s="15"/>
      <c r="X39" s="16"/>
      <c r="Y39" s="15"/>
      <c r="Z39" s="15"/>
      <c r="AA39" s="15"/>
      <c r="AB39" s="24" t="s">
        <v>158</v>
      </c>
      <c r="AC39" s="14">
        <v>16758</v>
      </c>
      <c r="AD39" s="15"/>
      <c r="AE39" s="15"/>
      <c r="AF39" s="16" t="s">
        <v>656</v>
      </c>
      <c r="AG39" s="16" t="s">
        <v>175</v>
      </c>
      <c r="AH39" s="16" t="s">
        <v>722</v>
      </c>
      <c r="AI39" s="16" t="s">
        <v>723</v>
      </c>
      <c r="AJ39" s="24"/>
      <c r="AK39" s="15"/>
      <c r="AL39" s="16"/>
      <c r="AM39" s="20"/>
      <c r="AN39" s="15"/>
      <c r="AO39" s="15"/>
      <c r="AP39" s="16" t="s">
        <v>724</v>
      </c>
      <c r="AQ39" s="14">
        <v>6850</v>
      </c>
      <c r="AR39" s="149"/>
      <c r="AS39" s="149"/>
      <c r="AT39" s="26"/>
      <c r="AU39" s="26"/>
    </row>
    <row r="40" spans="1:47" s="51" customFormat="1" ht="90" thickTop="1">
      <c r="A40" s="81"/>
      <c r="B40" s="150"/>
      <c r="C40" s="151"/>
      <c r="D40" s="107"/>
      <c r="E40" s="107"/>
      <c r="F40" s="107"/>
      <c r="G40" s="107"/>
      <c r="H40" s="57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18" t="s">
        <v>499</v>
      </c>
      <c r="U40" s="154">
        <v>6400</v>
      </c>
      <c r="V40" s="78"/>
      <c r="W40" s="78"/>
      <c r="X40" s="153"/>
      <c r="Y40" s="78"/>
      <c r="Z40" s="78"/>
      <c r="AA40" s="78"/>
      <c r="AB40" s="136"/>
      <c r="AC40" s="78"/>
      <c r="AD40" s="78"/>
      <c r="AE40" s="78"/>
      <c r="AF40" s="136"/>
      <c r="AG40" s="78"/>
      <c r="AH40" s="13" t="s">
        <v>585</v>
      </c>
      <c r="AI40" s="20">
        <v>18465</v>
      </c>
      <c r="AJ40" s="136"/>
      <c r="AK40" s="78"/>
      <c r="AL40" s="78"/>
      <c r="AM40" s="78"/>
      <c r="AN40" s="78"/>
      <c r="AO40" s="78"/>
      <c r="AP40" s="78"/>
      <c r="AQ40" s="78"/>
      <c r="AR40" s="22"/>
      <c r="AS40" s="22"/>
      <c r="AT40" s="50"/>
      <c r="AU40" s="50"/>
    </row>
    <row r="41" spans="1:47" s="51" customFormat="1" ht="13.5" thickBot="1">
      <c r="A41" s="82"/>
      <c r="B41" s="138" t="s">
        <v>21</v>
      </c>
      <c r="C41" s="139"/>
      <c r="D41" s="140">
        <v>81480.320000000007</v>
      </c>
      <c r="E41" s="161">
        <v>-43342.75</v>
      </c>
      <c r="F41" s="64">
        <f>SUM(I41,M41,Q41,U41,Y41,AC41,AG41,AK41,AO41,AS41)</f>
        <v>95522</v>
      </c>
      <c r="G41" s="64">
        <v>61845</v>
      </c>
      <c r="H41" s="65"/>
      <c r="I41" s="65"/>
      <c r="J41" s="65"/>
      <c r="K41" s="66"/>
      <c r="L41" s="65"/>
      <c r="M41" s="65"/>
      <c r="N41" s="65"/>
      <c r="O41" s="65"/>
      <c r="P41" s="65"/>
      <c r="Q41" s="66">
        <v>12000</v>
      </c>
      <c r="R41" s="65"/>
      <c r="S41" s="66"/>
      <c r="T41" s="65"/>
      <c r="U41" s="66">
        <v>10900</v>
      </c>
      <c r="V41" s="65"/>
      <c r="W41" s="65"/>
      <c r="X41" s="65"/>
      <c r="Y41" s="65"/>
      <c r="Z41" s="65"/>
      <c r="AA41" s="65"/>
      <c r="AB41" s="65"/>
      <c r="AC41" s="66">
        <v>16758</v>
      </c>
      <c r="AD41" s="65"/>
      <c r="AE41" s="65"/>
      <c r="AF41" s="193"/>
      <c r="AG41" s="66">
        <v>55864</v>
      </c>
      <c r="AH41" s="65"/>
      <c r="AI41" s="65">
        <f>18465+27483+9047</f>
        <v>54995</v>
      </c>
      <c r="AJ41" s="65"/>
      <c r="AK41" s="65"/>
      <c r="AL41" s="65"/>
      <c r="AM41" s="66"/>
      <c r="AN41" s="65"/>
      <c r="AO41" s="65"/>
      <c r="AP41" s="65"/>
      <c r="AQ41" s="66">
        <f>AQ39</f>
        <v>6850</v>
      </c>
      <c r="AR41" s="69"/>
      <c r="AS41" s="69"/>
      <c r="AT41" s="71"/>
      <c r="AU41" s="71"/>
    </row>
    <row r="42" spans="1:47" s="51" customFormat="1" ht="64.5" thickTop="1">
      <c r="A42" s="80">
        <v>11</v>
      </c>
      <c r="B42" s="194" t="s">
        <v>22</v>
      </c>
      <c r="C42" s="195">
        <v>3</v>
      </c>
      <c r="D42" s="196"/>
      <c r="E42" s="196"/>
      <c r="F42" s="197"/>
      <c r="G42" s="197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8" t="s">
        <v>498</v>
      </c>
      <c r="U42" s="14">
        <v>4500</v>
      </c>
      <c r="V42" s="16" t="s">
        <v>497</v>
      </c>
      <c r="W42" s="16">
        <v>913</v>
      </c>
      <c r="X42" s="15"/>
      <c r="Y42" s="15"/>
      <c r="Z42" s="15"/>
      <c r="AA42" s="15"/>
      <c r="AB42" s="198" t="s">
        <v>158</v>
      </c>
      <c r="AC42" s="14">
        <v>16758</v>
      </c>
      <c r="AD42" s="15"/>
      <c r="AE42" s="15"/>
      <c r="AF42" s="24" t="s">
        <v>626</v>
      </c>
      <c r="AG42" s="20" t="s">
        <v>176</v>
      </c>
      <c r="AH42" s="57"/>
      <c r="AI42" s="57"/>
      <c r="AJ42" s="57"/>
      <c r="AK42" s="57"/>
      <c r="AL42" s="57"/>
      <c r="AM42" s="57"/>
      <c r="AN42" s="15"/>
      <c r="AO42" s="15"/>
      <c r="AP42" s="57"/>
      <c r="AQ42" s="57"/>
      <c r="AR42" s="149"/>
      <c r="AS42" s="149"/>
      <c r="AT42" s="26"/>
      <c r="AU42" s="26"/>
    </row>
    <row r="43" spans="1:47" s="51" customFormat="1" ht="13.5" thickBot="1">
      <c r="A43" s="82"/>
      <c r="B43" s="138" t="s">
        <v>21</v>
      </c>
      <c r="C43" s="139"/>
      <c r="D43" s="140">
        <v>76072.960000000006</v>
      </c>
      <c r="E43" s="140">
        <v>55118.2</v>
      </c>
      <c r="F43" s="64">
        <f>SUM(I43,M43,Q43,U43,Y43,AC43,AG43,AK43,AO43,AS43)</f>
        <v>30270</v>
      </c>
      <c r="G43" s="199">
        <v>913</v>
      </c>
      <c r="H43" s="200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6">
        <v>4500</v>
      </c>
      <c r="V43" s="65"/>
      <c r="W43" s="65">
        <v>913</v>
      </c>
      <c r="X43" s="65"/>
      <c r="Y43" s="65"/>
      <c r="Z43" s="65"/>
      <c r="AA43" s="65"/>
      <c r="AB43" s="65"/>
      <c r="AC43" s="66">
        <v>16758</v>
      </c>
      <c r="AD43" s="65"/>
      <c r="AE43" s="65"/>
      <c r="AF43" s="67"/>
      <c r="AG43" s="66">
        <v>9012</v>
      </c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9"/>
      <c r="AS43" s="69"/>
      <c r="AT43" s="71"/>
      <c r="AU43" s="71"/>
    </row>
    <row r="44" spans="1:47" s="51" customFormat="1" ht="64.5" thickTop="1">
      <c r="A44" s="80">
        <v>12</v>
      </c>
      <c r="B44" s="194" t="s">
        <v>7</v>
      </c>
      <c r="C44" s="195">
        <v>4</v>
      </c>
      <c r="D44" s="77"/>
      <c r="E44" s="7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18" t="s">
        <v>498</v>
      </c>
      <c r="U44" s="21">
        <v>4500</v>
      </c>
      <c r="V44" s="57"/>
      <c r="W44" s="57"/>
      <c r="X44" s="26"/>
      <c r="Y44" s="57"/>
      <c r="Z44" s="57"/>
      <c r="AA44" s="57"/>
      <c r="AB44" s="146" t="s">
        <v>174</v>
      </c>
      <c r="AC44" s="21">
        <v>8379</v>
      </c>
      <c r="AD44" s="13" t="s">
        <v>475</v>
      </c>
      <c r="AE44" s="13">
        <v>8011</v>
      </c>
      <c r="AF44" s="19"/>
      <c r="AG44" s="57"/>
      <c r="AH44" s="13" t="s">
        <v>430</v>
      </c>
      <c r="AI44" s="57">
        <v>17097</v>
      </c>
      <c r="AJ44" s="57"/>
      <c r="AK44" s="57"/>
      <c r="AL44" s="57"/>
      <c r="AM44" s="57"/>
      <c r="AN44" s="19"/>
      <c r="AO44" s="57"/>
      <c r="AP44" s="13"/>
      <c r="AQ44" s="13"/>
      <c r="AR44" s="149"/>
      <c r="AS44" s="149"/>
      <c r="AT44" s="26"/>
      <c r="AU44" s="26"/>
    </row>
    <row r="45" spans="1:47" s="51" customFormat="1" ht="13.5" thickBot="1">
      <c r="A45" s="82"/>
      <c r="B45" s="138" t="s">
        <v>21</v>
      </c>
      <c r="C45" s="139"/>
      <c r="D45" s="140">
        <v>81175.679999999993</v>
      </c>
      <c r="E45" s="140">
        <v>31953.89</v>
      </c>
      <c r="F45" s="64">
        <f>SUM(I45,M45,Q45,U45,Y45,AC45,AG45,AK45,AO45,AS45)</f>
        <v>12879</v>
      </c>
      <c r="G45" s="64">
        <v>25108</v>
      </c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6">
        <v>4500</v>
      </c>
      <c r="V45" s="65"/>
      <c r="W45" s="65"/>
      <c r="X45" s="65"/>
      <c r="Y45" s="65"/>
      <c r="Z45" s="65"/>
      <c r="AA45" s="65"/>
      <c r="AB45" s="65"/>
      <c r="AC45" s="66">
        <v>8379</v>
      </c>
      <c r="AD45" s="65"/>
      <c r="AE45" s="65">
        <v>8011</v>
      </c>
      <c r="AF45" s="67"/>
      <c r="AG45" s="65"/>
      <c r="AH45" s="65"/>
      <c r="AI45" s="65">
        <v>17097</v>
      </c>
      <c r="AJ45" s="65"/>
      <c r="AK45" s="65"/>
      <c r="AL45" s="65"/>
      <c r="AM45" s="65"/>
      <c r="AN45" s="65"/>
      <c r="AO45" s="65"/>
      <c r="AP45" s="65"/>
      <c r="AQ45" s="66"/>
      <c r="AR45" s="69"/>
      <c r="AS45" s="69"/>
      <c r="AT45" s="71"/>
      <c r="AU45" s="71"/>
    </row>
    <row r="46" spans="1:47" s="51" customFormat="1" ht="192" thickTop="1">
      <c r="A46" s="80">
        <v>13</v>
      </c>
      <c r="B46" s="142" t="s">
        <v>7</v>
      </c>
      <c r="C46" s="184" t="s">
        <v>8</v>
      </c>
      <c r="D46" s="108"/>
      <c r="E46" s="108"/>
      <c r="F46" s="110"/>
      <c r="G46" s="106"/>
      <c r="H46" s="13" t="s">
        <v>121</v>
      </c>
      <c r="I46" s="21">
        <v>5200</v>
      </c>
      <c r="J46" s="13" t="s">
        <v>730</v>
      </c>
      <c r="K46" s="13" t="s">
        <v>731</v>
      </c>
      <c r="L46" s="57"/>
      <c r="M46" s="57"/>
      <c r="N46" s="57"/>
      <c r="O46" s="57"/>
      <c r="P46" s="13"/>
      <c r="Q46" s="57"/>
      <c r="R46" s="57" t="s">
        <v>729</v>
      </c>
      <c r="S46" s="13" t="s">
        <v>728</v>
      </c>
      <c r="T46" s="18" t="s">
        <v>503</v>
      </c>
      <c r="U46" s="21">
        <v>6000</v>
      </c>
      <c r="V46" s="57"/>
      <c r="W46" s="57"/>
      <c r="X46" s="18" t="s">
        <v>593</v>
      </c>
      <c r="Y46" s="21">
        <v>6000</v>
      </c>
      <c r="Z46" s="57"/>
      <c r="AA46" s="57"/>
      <c r="AB46" s="19" t="s">
        <v>58</v>
      </c>
      <c r="AC46" s="21">
        <v>14896</v>
      </c>
      <c r="AD46" s="13"/>
      <c r="AE46" s="21"/>
      <c r="AF46" s="19" t="s">
        <v>641</v>
      </c>
      <c r="AG46" s="13" t="s">
        <v>185</v>
      </c>
      <c r="AH46" s="13" t="s">
        <v>725</v>
      </c>
      <c r="AI46" s="62" t="s">
        <v>732</v>
      </c>
      <c r="AJ46" s="147"/>
      <c r="AK46" s="57"/>
      <c r="AL46" s="57"/>
      <c r="AM46" s="57"/>
      <c r="AN46" s="19"/>
      <c r="AO46" s="57"/>
      <c r="AP46" s="13" t="s">
        <v>727</v>
      </c>
      <c r="AQ46" s="62" t="s">
        <v>726</v>
      </c>
      <c r="AR46" s="149"/>
      <c r="AS46" s="149"/>
      <c r="AT46" s="26"/>
      <c r="AU46" s="26"/>
    </row>
    <row r="47" spans="1:47" s="51" customFormat="1" ht="89.25">
      <c r="A47" s="81"/>
      <c r="B47" s="129"/>
      <c r="C47" s="130"/>
      <c r="D47" s="109"/>
      <c r="E47" s="109"/>
      <c r="F47" s="131"/>
      <c r="G47" s="107"/>
      <c r="H47" s="153" t="s">
        <v>254</v>
      </c>
      <c r="I47" s="201">
        <v>2600</v>
      </c>
      <c r="J47" s="13" t="s">
        <v>708</v>
      </c>
      <c r="K47" s="78">
        <v>3925</v>
      </c>
      <c r="L47" s="78"/>
      <c r="M47" s="78"/>
      <c r="N47" s="78"/>
      <c r="O47" s="78"/>
      <c r="P47" s="57"/>
      <c r="Q47" s="78"/>
      <c r="R47" s="78"/>
      <c r="S47" s="78"/>
      <c r="T47" s="134" t="s">
        <v>499</v>
      </c>
      <c r="U47" s="154">
        <v>6400</v>
      </c>
      <c r="V47" s="78"/>
      <c r="W47" s="78"/>
      <c r="X47" s="153" t="s">
        <v>592</v>
      </c>
      <c r="Y47" s="154">
        <v>2000</v>
      </c>
      <c r="Z47" s="78"/>
      <c r="AA47" s="78"/>
      <c r="AB47" s="78"/>
      <c r="AC47" s="78"/>
      <c r="AD47" s="78"/>
      <c r="AE47" s="78"/>
      <c r="AF47" s="25"/>
      <c r="AG47" s="78"/>
      <c r="AH47" s="153"/>
      <c r="AI47" s="154"/>
      <c r="AJ47" s="78"/>
      <c r="AK47" s="78"/>
      <c r="AL47" s="78"/>
      <c r="AM47" s="78"/>
      <c r="AN47" s="25"/>
      <c r="AO47" s="78"/>
      <c r="AP47" s="153"/>
      <c r="AQ47" s="154"/>
      <c r="AR47" s="22"/>
      <c r="AS47" s="22"/>
      <c r="AT47" s="50"/>
      <c r="AU47" s="50"/>
    </row>
    <row r="48" spans="1:47" s="51" customFormat="1" ht="13.5" thickBot="1">
      <c r="A48" s="82"/>
      <c r="B48" s="169" t="s">
        <v>21</v>
      </c>
      <c r="C48" s="170"/>
      <c r="D48" s="63">
        <v>134030.70000000001</v>
      </c>
      <c r="E48" s="63">
        <v>-30184.07</v>
      </c>
      <c r="F48" s="64">
        <f>SUM(I48,M48,Q48,U48,Y48,AC48,AG48,AK48,AO48,AS48)</f>
        <v>89832</v>
      </c>
      <c r="G48" s="64">
        <v>190646</v>
      </c>
      <c r="H48" s="65"/>
      <c r="I48" s="66">
        <v>7800</v>
      </c>
      <c r="J48" s="13"/>
      <c r="K48" s="65">
        <f>1037+478+31822+31895+3925</f>
        <v>69157</v>
      </c>
      <c r="L48" s="65"/>
      <c r="M48" s="65"/>
      <c r="N48" s="65"/>
      <c r="O48" s="65"/>
      <c r="P48" s="65"/>
      <c r="Q48" s="65"/>
      <c r="R48" s="65"/>
      <c r="S48" s="65">
        <f>2356+4833</f>
        <v>7189</v>
      </c>
      <c r="T48" s="65"/>
      <c r="U48" s="66">
        <v>12400</v>
      </c>
      <c r="V48" s="65"/>
      <c r="W48" s="65"/>
      <c r="X48" s="65"/>
      <c r="Y48" s="66">
        <v>8000</v>
      </c>
      <c r="Z48" s="65"/>
      <c r="AA48" s="65"/>
      <c r="AB48" s="65"/>
      <c r="AC48" s="66">
        <v>14896</v>
      </c>
      <c r="AD48" s="65"/>
      <c r="AE48" s="66"/>
      <c r="AF48" s="193"/>
      <c r="AG48" s="66">
        <v>46736</v>
      </c>
      <c r="AH48" s="65"/>
      <c r="AI48" s="66">
        <f>26579+38812+30243</f>
        <v>95634</v>
      </c>
      <c r="AJ48" s="65"/>
      <c r="AK48" s="65"/>
      <c r="AL48" s="132"/>
      <c r="AM48" s="132"/>
      <c r="AN48" s="18"/>
      <c r="AO48" s="65"/>
      <c r="AP48" s="65"/>
      <c r="AQ48" s="66">
        <f>4297+4296+607+4148+5318</f>
        <v>18666</v>
      </c>
      <c r="AR48" s="69"/>
      <c r="AS48" s="69"/>
      <c r="AT48" s="71"/>
      <c r="AU48" s="71"/>
    </row>
    <row r="49" spans="1:47" s="51" customFormat="1" ht="306.75" thickTop="1">
      <c r="A49" s="80">
        <v>14</v>
      </c>
      <c r="B49" s="142" t="s">
        <v>7</v>
      </c>
      <c r="C49" s="142">
        <v>7</v>
      </c>
      <c r="D49" s="171"/>
      <c r="E49" s="171"/>
      <c r="F49" s="106"/>
      <c r="G49" s="106"/>
      <c r="H49" s="16" t="s">
        <v>123</v>
      </c>
      <c r="I49" s="14">
        <v>75000</v>
      </c>
      <c r="J49" s="16" t="s">
        <v>733</v>
      </c>
      <c r="K49" s="16" t="s">
        <v>734</v>
      </c>
      <c r="L49" s="15" t="s">
        <v>31</v>
      </c>
      <c r="M49" s="15"/>
      <c r="N49" s="15"/>
      <c r="O49" s="15"/>
      <c r="P49" s="15"/>
      <c r="Q49" s="15"/>
      <c r="R49" s="16" t="s">
        <v>736</v>
      </c>
      <c r="S49" s="15">
        <v>1616</v>
      </c>
      <c r="T49" s="18" t="s">
        <v>495</v>
      </c>
      <c r="U49" s="14">
        <v>3750</v>
      </c>
      <c r="V49" s="16" t="s">
        <v>496</v>
      </c>
      <c r="W49" s="202" t="s">
        <v>738</v>
      </c>
      <c r="X49" s="18" t="s">
        <v>606</v>
      </c>
      <c r="Y49" s="14">
        <v>7500</v>
      </c>
      <c r="Z49" s="57"/>
      <c r="AA49" s="57"/>
      <c r="AB49" s="19" t="s">
        <v>174</v>
      </c>
      <c r="AC49" s="14">
        <v>8379</v>
      </c>
      <c r="AD49" s="16" t="s">
        <v>406</v>
      </c>
      <c r="AE49" s="16">
        <v>7005</v>
      </c>
      <c r="AF49" s="24" t="s">
        <v>646</v>
      </c>
      <c r="AG49" s="16" t="s">
        <v>186</v>
      </c>
      <c r="AH49" s="13" t="s">
        <v>338</v>
      </c>
      <c r="AI49" s="62" t="s">
        <v>735</v>
      </c>
      <c r="AJ49" s="147"/>
      <c r="AK49" s="15"/>
      <c r="AL49" s="15"/>
      <c r="AM49" s="15"/>
      <c r="AN49" s="24"/>
      <c r="AO49" s="15"/>
      <c r="AP49" s="57"/>
      <c r="AQ49" s="57"/>
      <c r="AR49" s="149"/>
      <c r="AS49" s="149"/>
      <c r="AT49" s="26"/>
      <c r="AU49" s="26"/>
    </row>
    <row r="50" spans="1:47" s="51" customFormat="1" ht="89.25">
      <c r="A50" s="81"/>
      <c r="B50" s="183"/>
      <c r="C50" s="183"/>
      <c r="D50" s="108"/>
      <c r="E50" s="109"/>
      <c r="F50" s="131"/>
      <c r="G50" s="107"/>
      <c r="H50" s="78"/>
      <c r="I50" s="78"/>
      <c r="J50" s="153" t="s">
        <v>737</v>
      </c>
      <c r="K50" s="78">
        <v>18119</v>
      </c>
      <c r="L50" s="78"/>
      <c r="M50" s="78"/>
      <c r="N50" s="78"/>
      <c r="O50" s="78"/>
      <c r="P50" s="78"/>
      <c r="Q50" s="78"/>
      <c r="R50" s="78"/>
      <c r="S50" s="78"/>
      <c r="T50" s="18" t="s">
        <v>499</v>
      </c>
      <c r="U50" s="154">
        <v>6400</v>
      </c>
      <c r="V50" s="153"/>
      <c r="W50" s="78"/>
      <c r="X50" s="18" t="s">
        <v>609</v>
      </c>
      <c r="Y50" s="154">
        <v>50000</v>
      </c>
      <c r="Z50" s="78"/>
      <c r="AA50" s="78"/>
      <c r="AB50" s="78"/>
      <c r="AC50" s="78"/>
      <c r="AD50" s="153" t="s">
        <v>448</v>
      </c>
      <c r="AE50" s="78">
        <v>7063</v>
      </c>
      <c r="AF50" s="25"/>
      <c r="AG50" s="203"/>
      <c r="AH50" s="52" t="s">
        <v>447</v>
      </c>
      <c r="AI50" s="125">
        <v>39169</v>
      </c>
      <c r="AJ50" s="204"/>
      <c r="AK50" s="125"/>
      <c r="AL50" s="125"/>
      <c r="AM50" s="125"/>
      <c r="AN50" s="25"/>
      <c r="AO50" s="78"/>
      <c r="AP50" s="204"/>
      <c r="AQ50" s="125"/>
      <c r="AR50" s="22"/>
      <c r="AS50" s="22"/>
      <c r="AT50" s="50"/>
      <c r="AU50" s="50"/>
    </row>
    <row r="51" spans="1:47" s="51" customFormat="1" ht="13.5" thickBot="1">
      <c r="A51" s="82"/>
      <c r="B51" s="138" t="s">
        <v>21</v>
      </c>
      <c r="C51" s="139"/>
      <c r="D51" s="161">
        <v>76714.880000000005</v>
      </c>
      <c r="E51" s="161">
        <v>29178.99</v>
      </c>
      <c r="F51" s="64">
        <f>SUM(I51,M51,Q51,U51,Y51,AC51,AG51,AK51,AO51,AS51)</f>
        <v>203672</v>
      </c>
      <c r="G51" s="64">
        <v>192745</v>
      </c>
      <c r="H51" s="65"/>
      <c r="I51" s="66">
        <v>75000</v>
      </c>
      <c r="J51" s="65"/>
      <c r="K51" s="65">
        <f>27211+51715+18119</f>
        <v>97045</v>
      </c>
      <c r="L51" s="65"/>
      <c r="M51" s="65"/>
      <c r="N51" s="65"/>
      <c r="O51" s="65"/>
      <c r="P51" s="65"/>
      <c r="Q51" s="65"/>
      <c r="R51" s="65"/>
      <c r="S51" s="65">
        <f>S49</f>
        <v>1616</v>
      </c>
      <c r="T51" s="65"/>
      <c r="U51" s="66">
        <v>10150</v>
      </c>
      <c r="V51" s="65"/>
      <c r="W51" s="65">
        <f>8756+5185</f>
        <v>13941</v>
      </c>
      <c r="X51" s="65"/>
      <c r="Y51" s="66">
        <v>57000</v>
      </c>
      <c r="Z51" s="65"/>
      <c r="AA51" s="65"/>
      <c r="AB51" s="65"/>
      <c r="AC51" s="66">
        <v>8379</v>
      </c>
      <c r="AD51" s="65"/>
      <c r="AE51" s="65">
        <f>AE50+AE49</f>
        <v>14068</v>
      </c>
      <c r="AF51" s="67"/>
      <c r="AG51" s="66">
        <v>53143</v>
      </c>
      <c r="AH51" s="205"/>
      <c r="AI51" s="206">
        <f>39169+8437+16901+1568</f>
        <v>66075</v>
      </c>
      <c r="AJ51" s="205"/>
      <c r="AK51" s="205"/>
      <c r="AL51" s="205"/>
      <c r="AM51" s="205"/>
      <c r="AN51" s="65"/>
      <c r="AO51" s="65"/>
      <c r="AP51" s="205"/>
      <c r="AQ51" s="205"/>
      <c r="AR51" s="69"/>
      <c r="AS51" s="69"/>
      <c r="AT51" s="71"/>
      <c r="AU51" s="71"/>
    </row>
    <row r="52" spans="1:47" s="51" customFormat="1" ht="116.25" thickTop="1" thickBot="1">
      <c r="A52" s="80">
        <v>15</v>
      </c>
      <c r="B52" s="142" t="s">
        <v>7</v>
      </c>
      <c r="C52" s="207">
        <v>8</v>
      </c>
      <c r="D52" s="171"/>
      <c r="E52" s="171"/>
      <c r="F52" s="106"/>
      <c r="G52" s="106"/>
      <c r="H52" s="16" t="s">
        <v>122</v>
      </c>
      <c r="I52" s="14">
        <v>2600</v>
      </c>
      <c r="J52" s="16"/>
      <c r="K52" s="14"/>
      <c r="L52" s="15"/>
      <c r="M52" s="15"/>
      <c r="N52" s="57"/>
      <c r="O52" s="57"/>
      <c r="P52" s="13"/>
      <c r="Q52" s="15"/>
      <c r="R52" s="16" t="s">
        <v>342</v>
      </c>
      <c r="S52" s="14">
        <v>5894</v>
      </c>
      <c r="T52" s="13" t="s">
        <v>520</v>
      </c>
      <c r="U52" s="14">
        <v>5000</v>
      </c>
      <c r="V52" s="16" t="s">
        <v>743</v>
      </c>
      <c r="W52" s="20" t="s">
        <v>742</v>
      </c>
      <c r="X52" s="18" t="s">
        <v>608</v>
      </c>
      <c r="Y52" s="208">
        <v>180000</v>
      </c>
      <c r="Z52" s="209" t="s">
        <v>741</v>
      </c>
      <c r="AA52" s="210">
        <v>132992</v>
      </c>
      <c r="AB52" s="19" t="s">
        <v>41</v>
      </c>
      <c r="AC52" s="14">
        <v>11172</v>
      </c>
      <c r="AD52" s="16" t="s">
        <v>451</v>
      </c>
      <c r="AE52" s="16" t="s">
        <v>452</v>
      </c>
      <c r="AF52" s="24" t="s">
        <v>450</v>
      </c>
      <c r="AG52" s="16" t="s">
        <v>449</v>
      </c>
      <c r="AH52" s="16" t="s">
        <v>453</v>
      </c>
      <c r="AI52" s="20">
        <v>45574</v>
      </c>
      <c r="AJ52" s="175"/>
      <c r="AK52" s="15"/>
      <c r="AL52" s="15"/>
      <c r="AM52" s="15"/>
      <c r="AN52" s="24" t="s">
        <v>383</v>
      </c>
      <c r="AO52" s="20">
        <v>1808</v>
      </c>
      <c r="AP52" s="16" t="s">
        <v>382</v>
      </c>
      <c r="AQ52" s="20" t="s">
        <v>739</v>
      </c>
      <c r="AR52" s="149"/>
      <c r="AS52" s="149"/>
      <c r="AT52" s="147" t="s">
        <v>744</v>
      </c>
      <c r="AU52" s="26">
        <v>10600</v>
      </c>
    </row>
    <row r="53" spans="1:47" s="51" customFormat="1" ht="64.5" thickTop="1">
      <c r="A53" s="81"/>
      <c r="B53" s="150"/>
      <c r="C53" s="107"/>
      <c r="D53" s="107"/>
      <c r="E53" s="107"/>
      <c r="F53" s="107"/>
      <c r="G53" s="107"/>
      <c r="H53" s="153"/>
      <c r="I53" s="154"/>
      <c r="J53" s="153" t="s">
        <v>571</v>
      </c>
      <c r="K53" s="201">
        <f>26977+27236</f>
        <v>54213</v>
      </c>
      <c r="L53" s="78"/>
      <c r="M53" s="78"/>
      <c r="N53" s="78"/>
      <c r="O53" s="78"/>
      <c r="P53" s="153"/>
      <c r="Q53" s="78"/>
      <c r="R53" s="78"/>
      <c r="S53" s="154"/>
      <c r="T53" s="78"/>
      <c r="U53" s="78"/>
      <c r="V53" s="153"/>
      <c r="W53" s="154"/>
      <c r="X53" s="16" t="s">
        <v>544</v>
      </c>
      <c r="Y53" s="211">
        <v>15000</v>
      </c>
      <c r="Z53" s="212"/>
      <c r="AA53" s="212"/>
      <c r="AB53" s="136"/>
      <c r="AC53" s="78"/>
      <c r="AD53" s="78"/>
      <c r="AE53" s="78"/>
      <c r="AF53" s="136"/>
      <c r="AG53" s="78"/>
      <c r="AH53" s="136" t="s">
        <v>476</v>
      </c>
      <c r="AI53" s="78">
        <v>2021</v>
      </c>
      <c r="AJ53" s="155"/>
      <c r="AK53" s="78"/>
      <c r="AL53" s="78"/>
      <c r="AM53" s="78"/>
      <c r="AN53" s="136" t="s">
        <v>385</v>
      </c>
      <c r="AO53" s="201" t="s">
        <v>31</v>
      </c>
      <c r="AP53" s="153" t="s">
        <v>384</v>
      </c>
      <c r="AQ53" s="201" t="s">
        <v>740</v>
      </c>
      <c r="AR53" s="158"/>
      <c r="AS53" s="158"/>
      <c r="AT53" s="159"/>
      <c r="AU53" s="159"/>
    </row>
    <row r="54" spans="1:47" s="51" customFormat="1" ht="13.5" thickBot="1">
      <c r="A54" s="82"/>
      <c r="B54" s="138" t="s">
        <v>21</v>
      </c>
      <c r="C54" s="139"/>
      <c r="D54" s="161">
        <v>100650.9</v>
      </c>
      <c r="E54" s="161">
        <v>25933.18</v>
      </c>
      <c r="F54" s="64">
        <f>SUM(I54,M54,Q54,U54,Y54,AC54,AG54,AK54,AO54,AS54)</f>
        <v>250300</v>
      </c>
      <c r="G54" s="64">
        <v>295857</v>
      </c>
      <c r="H54" s="65"/>
      <c r="I54" s="66">
        <v>2600</v>
      </c>
      <c r="J54" s="65"/>
      <c r="K54" s="66">
        <f>54213</f>
        <v>54213</v>
      </c>
      <c r="L54" s="65"/>
      <c r="M54" s="65"/>
      <c r="N54" s="65"/>
      <c r="O54" s="65"/>
      <c r="P54" s="65"/>
      <c r="Q54" s="65"/>
      <c r="R54" s="65"/>
      <c r="S54" s="66">
        <f>S52</f>
        <v>5894</v>
      </c>
      <c r="T54" s="65"/>
      <c r="U54" s="66">
        <v>5000</v>
      </c>
      <c r="V54" s="65"/>
      <c r="W54" s="66">
        <f>1830+1258</f>
        <v>3088</v>
      </c>
      <c r="X54" s="65"/>
      <c r="Y54" s="66">
        <v>195000</v>
      </c>
      <c r="Z54" s="65"/>
      <c r="AA54" s="65">
        <f>AA52</f>
        <v>132992</v>
      </c>
      <c r="AB54" s="65"/>
      <c r="AC54" s="66">
        <v>11172</v>
      </c>
      <c r="AD54" s="65"/>
      <c r="AE54" s="65">
        <f>9287+3231</f>
        <v>12518</v>
      </c>
      <c r="AF54" s="67"/>
      <c r="AG54" s="66">
        <v>30160</v>
      </c>
      <c r="AH54" s="65"/>
      <c r="AI54" s="66">
        <f>SUM(AI52:AI53)</f>
        <v>47595</v>
      </c>
      <c r="AJ54" s="65"/>
      <c r="AK54" s="65"/>
      <c r="AL54" s="65"/>
      <c r="AM54" s="65"/>
      <c r="AN54" s="65"/>
      <c r="AO54" s="66">
        <v>6368</v>
      </c>
      <c r="AP54" s="65"/>
      <c r="AQ54" s="66">
        <f>3869+10231+3869+10988</f>
        <v>28957</v>
      </c>
      <c r="AR54" s="69"/>
      <c r="AS54" s="69"/>
      <c r="AT54" s="71"/>
      <c r="AU54" s="71">
        <f>AU52</f>
        <v>10600</v>
      </c>
    </row>
    <row r="55" spans="1:47" s="51" customFormat="1" ht="166.5" thickTop="1">
      <c r="A55" s="80">
        <v>16</v>
      </c>
      <c r="B55" s="195" t="s">
        <v>7</v>
      </c>
      <c r="C55" s="213" t="s">
        <v>9</v>
      </c>
      <c r="D55" s="196"/>
      <c r="E55" s="196"/>
      <c r="F55" s="214"/>
      <c r="G55" s="214"/>
      <c r="H55" s="57"/>
      <c r="I55" s="57"/>
      <c r="J55" s="13" t="s">
        <v>753</v>
      </c>
      <c r="K55" s="57">
        <v>1923</v>
      </c>
      <c r="L55" s="57"/>
      <c r="M55" s="15"/>
      <c r="N55" s="15"/>
      <c r="O55" s="15"/>
      <c r="P55" s="16" t="s">
        <v>602</v>
      </c>
      <c r="Q55" s="14">
        <v>11000</v>
      </c>
      <c r="R55" s="16" t="s">
        <v>431</v>
      </c>
      <c r="S55" s="16" t="s">
        <v>745</v>
      </c>
      <c r="T55" s="13" t="s">
        <v>520</v>
      </c>
      <c r="U55" s="14">
        <v>5000</v>
      </c>
      <c r="V55" s="16" t="s">
        <v>747</v>
      </c>
      <c r="W55" s="20" t="s">
        <v>746</v>
      </c>
      <c r="X55" s="15"/>
      <c r="Y55" s="15"/>
      <c r="Z55" s="57"/>
      <c r="AA55" s="57"/>
      <c r="AB55" s="19" t="s">
        <v>174</v>
      </c>
      <c r="AC55" s="14">
        <v>8379</v>
      </c>
      <c r="AD55" s="16" t="s">
        <v>749</v>
      </c>
      <c r="AE55" s="20" t="s">
        <v>748</v>
      </c>
      <c r="AF55" s="24" t="s">
        <v>649</v>
      </c>
      <c r="AG55" s="16" t="s">
        <v>187</v>
      </c>
      <c r="AH55" s="13" t="s">
        <v>661</v>
      </c>
      <c r="AI55" s="62" t="s">
        <v>750</v>
      </c>
      <c r="AJ55" s="13"/>
      <c r="AK55" s="57"/>
      <c r="AL55" s="13"/>
      <c r="AM55" s="57"/>
      <c r="AN55" s="25"/>
      <c r="AO55" s="15"/>
      <c r="AP55" s="13" t="s">
        <v>752</v>
      </c>
      <c r="AQ55" s="13" t="s">
        <v>751</v>
      </c>
      <c r="AR55" s="149"/>
      <c r="AS55" s="149"/>
      <c r="AT55" s="26"/>
      <c r="AU55" s="26"/>
    </row>
    <row r="56" spans="1:47" s="51" customFormat="1" ht="13.5" thickBot="1">
      <c r="A56" s="82"/>
      <c r="B56" s="169" t="s">
        <v>21</v>
      </c>
      <c r="C56" s="170"/>
      <c r="D56" s="63">
        <v>134465.9</v>
      </c>
      <c r="E56" s="63">
        <v>58749.89</v>
      </c>
      <c r="F56" s="64">
        <f>SUM(I56,M56,Q56,U56,Y56,AC56,AG56,AK56,AO56,AS56)</f>
        <v>44885</v>
      </c>
      <c r="G56" s="64">
        <v>162799</v>
      </c>
      <c r="H56" s="65"/>
      <c r="I56" s="65"/>
      <c r="J56" s="65"/>
      <c r="K56" s="65">
        <f>K55</f>
        <v>1923</v>
      </c>
      <c r="L56" s="65"/>
      <c r="M56" s="65"/>
      <c r="N56" s="65"/>
      <c r="O56" s="65"/>
      <c r="P56" s="65"/>
      <c r="Q56" s="66">
        <v>11000</v>
      </c>
      <c r="R56" s="65"/>
      <c r="S56" s="65">
        <f>12792+19804</f>
        <v>32596</v>
      </c>
      <c r="T56" s="65"/>
      <c r="U56" s="66">
        <v>5000</v>
      </c>
      <c r="V56" s="65"/>
      <c r="W56" s="66">
        <f>2028+1045+1258</f>
        <v>4331</v>
      </c>
      <c r="X56" s="65"/>
      <c r="Y56" s="65"/>
      <c r="Z56" s="65"/>
      <c r="AA56" s="65"/>
      <c r="AB56" s="65"/>
      <c r="AC56" s="66">
        <v>8379</v>
      </c>
      <c r="AD56" s="65"/>
      <c r="AE56" s="66">
        <f>9879+4754</f>
        <v>14633</v>
      </c>
      <c r="AF56" s="67"/>
      <c r="AG56" s="66">
        <v>20506</v>
      </c>
      <c r="AH56" s="65"/>
      <c r="AI56" s="66">
        <f>2112+14485+16662+22319+34779</f>
        <v>90357</v>
      </c>
      <c r="AJ56" s="65"/>
      <c r="AK56" s="65"/>
      <c r="AL56" s="65"/>
      <c r="AM56" s="65"/>
      <c r="AN56" s="65"/>
      <c r="AO56" s="65"/>
      <c r="AP56" s="65"/>
      <c r="AQ56" s="65">
        <f>2296+16663</f>
        <v>18959</v>
      </c>
      <c r="AR56" s="69"/>
      <c r="AS56" s="69"/>
      <c r="AT56" s="71"/>
      <c r="AU56" s="71"/>
    </row>
    <row r="57" spans="1:47" s="51" customFormat="1" ht="128.25" thickTop="1">
      <c r="A57" s="80">
        <v>17</v>
      </c>
      <c r="B57" s="142" t="s">
        <v>7</v>
      </c>
      <c r="C57" s="143">
        <v>9</v>
      </c>
      <c r="D57" s="171"/>
      <c r="E57" s="171"/>
      <c r="F57" s="106"/>
      <c r="G57" s="106"/>
      <c r="H57" s="13" t="s">
        <v>124</v>
      </c>
      <c r="I57" s="14">
        <v>25000</v>
      </c>
      <c r="J57" s="16" t="s">
        <v>455</v>
      </c>
      <c r="K57" s="14">
        <v>26354</v>
      </c>
      <c r="L57" s="15"/>
      <c r="M57" s="15"/>
      <c r="N57" s="15"/>
      <c r="O57" s="15"/>
      <c r="P57" s="16" t="s">
        <v>120</v>
      </c>
      <c r="Q57" s="14">
        <v>12000</v>
      </c>
      <c r="R57" s="15"/>
      <c r="S57" s="15"/>
      <c r="T57" s="18" t="s">
        <v>501</v>
      </c>
      <c r="U57" s="20">
        <v>7500</v>
      </c>
      <c r="V57" s="16" t="s">
        <v>323</v>
      </c>
      <c r="W57" s="20">
        <v>812</v>
      </c>
      <c r="X57" s="16"/>
      <c r="Y57" s="15"/>
      <c r="Z57" s="57"/>
      <c r="AA57" s="57"/>
      <c r="AB57" s="19" t="s">
        <v>157</v>
      </c>
      <c r="AC57" s="14">
        <v>26068</v>
      </c>
      <c r="AD57" s="16" t="s">
        <v>308</v>
      </c>
      <c r="AE57" s="14">
        <v>12176</v>
      </c>
      <c r="AF57" s="24" t="s">
        <v>188</v>
      </c>
      <c r="AG57" s="16" t="s">
        <v>189</v>
      </c>
      <c r="AH57" s="16" t="s">
        <v>454</v>
      </c>
      <c r="AI57" s="20" t="s">
        <v>754</v>
      </c>
      <c r="AJ57" s="175"/>
      <c r="AK57" s="57"/>
      <c r="AL57" s="57"/>
      <c r="AM57" s="21"/>
      <c r="AN57" s="25"/>
      <c r="AO57" s="15"/>
      <c r="AP57" s="16" t="s">
        <v>756</v>
      </c>
      <c r="AQ57" s="15">
        <v>1896</v>
      </c>
      <c r="AR57" s="149"/>
      <c r="AS57" s="149"/>
      <c r="AT57" s="26"/>
      <c r="AU57" s="26"/>
    </row>
    <row r="58" spans="1:47" s="51" customFormat="1" ht="89.25">
      <c r="A58" s="81"/>
      <c r="B58" s="183"/>
      <c r="C58" s="184"/>
      <c r="D58" s="108"/>
      <c r="E58" s="108"/>
      <c r="F58" s="110"/>
      <c r="G58" s="110"/>
      <c r="H58" s="153"/>
      <c r="I58" s="78"/>
      <c r="J58" s="153" t="s">
        <v>755</v>
      </c>
      <c r="K58" s="153">
        <v>2813</v>
      </c>
      <c r="L58" s="78"/>
      <c r="M58" s="78"/>
      <c r="N58" s="78"/>
      <c r="O58" s="78"/>
      <c r="P58" s="78"/>
      <c r="Q58" s="78"/>
      <c r="R58" s="78"/>
      <c r="S58" s="78"/>
      <c r="T58" s="18" t="s">
        <v>511</v>
      </c>
      <c r="U58" s="201">
        <v>9600</v>
      </c>
      <c r="V58" s="153"/>
      <c r="W58" s="153"/>
      <c r="X58" s="153"/>
      <c r="Y58" s="78"/>
      <c r="Z58" s="78"/>
      <c r="AA58" s="78"/>
      <c r="AB58" s="78"/>
      <c r="AC58" s="78"/>
      <c r="AD58" s="78"/>
      <c r="AE58" s="78"/>
      <c r="AF58" s="181"/>
      <c r="AG58" s="78"/>
      <c r="AH58" s="153" t="s">
        <v>430</v>
      </c>
      <c r="AI58" s="154">
        <v>17097</v>
      </c>
      <c r="AJ58" s="78"/>
      <c r="AK58" s="78"/>
      <c r="AL58" s="78"/>
      <c r="AM58" s="78"/>
      <c r="AN58" s="78"/>
      <c r="AO58" s="78"/>
      <c r="AP58" s="153" t="s">
        <v>757</v>
      </c>
      <c r="AQ58" s="78">
        <v>5686</v>
      </c>
      <c r="AR58" s="215"/>
      <c r="AS58" s="215"/>
      <c r="AT58" s="216"/>
      <c r="AU58" s="216"/>
    </row>
    <row r="59" spans="1:47" s="51" customFormat="1" ht="63.75">
      <c r="A59" s="81"/>
      <c r="B59" s="150"/>
      <c r="C59" s="151"/>
      <c r="D59" s="107"/>
      <c r="E59" s="107"/>
      <c r="F59" s="107"/>
      <c r="G59" s="107"/>
      <c r="H59" s="18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8" t="s">
        <v>500</v>
      </c>
      <c r="U59" s="217">
        <v>10000</v>
      </c>
      <c r="V59" s="18"/>
      <c r="W59" s="18"/>
      <c r="X59" s="18"/>
      <c r="Y59" s="125"/>
      <c r="Z59" s="125"/>
      <c r="AA59" s="125"/>
      <c r="AB59" s="125"/>
      <c r="AC59" s="125"/>
      <c r="AD59" s="125"/>
      <c r="AE59" s="125"/>
      <c r="AF59" s="25"/>
      <c r="AG59" s="125"/>
      <c r="AH59" s="125"/>
      <c r="AI59" s="127"/>
      <c r="AJ59" s="125"/>
      <c r="AK59" s="125"/>
      <c r="AL59" s="125"/>
      <c r="AM59" s="125"/>
      <c r="AN59" s="125"/>
      <c r="AO59" s="125"/>
      <c r="AP59" s="125"/>
      <c r="AQ59" s="125"/>
      <c r="AR59" s="22"/>
      <c r="AS59" s="22"/>
      <c r="AT59" s="50"/>
      <c r="AU59" s="50"/>
    </row>
    <row r="60" spans="1:47" s="51" customFormat="1" ht="13.5" thickBot="1">
      <c r="A60" s="82"/>
      <c r="B60" s="169" t="s">
        <v>21</v>
      </c>
      <c r="C60" s="170"/>
      <c r="D60" s="63">
        <v>135853.1</v>
      </c>
      <c r="E60" s="63">
        <v>-27973.27</v>
      </c>
      <c r="F60" s="64">
        <f>SUM(I60,M60,Q60,U60,Y60,AC60,AG60,AK60,AO60,AS60)</f>
        <v>160182</v>
      </c>
      <c r="G60" s="64">
        <v>100214</v>
      </c>
      <c r="H60" s="65"/>
      <c r="I60" s="66">
        <v>25000</v>
      </c>
      <c r="J60" s="65"/>
      <c r="K60" s="66">
        <f>K57+K58</f>
        <v>29167</v>
      </c>
      <c r="L60" s="65"/>
      <c r="M60" s="65"/>
      <c r="N60" s="65"/>
      <c r="O60" s="65"/>
      <c r="P60" s="65"/>
      <c r="Q60" s="66">
        <v>12000</v>
      </c>
      <c r="R60" s="65"/>
      <c r="S60" s="65"/>
      <c r="T60" s="65"/>
      <c r="U60" s="66">
        <v>27100</v>
      </c>
      <c r="V60" s="65"/>
      <c r="W60" s="66">
        <v>812</v>
      </c>
      <c r="X60" s="65"/>
      <c r="Y60" s="65"/>
      <c r="Z60" s="65"/>
      <c r="AA60" s="65"/>
      <c r="AB60" s="65"/>
      <c r="AC60" s="66">
        <v>26068</v>
      </c>
      <c r="AD60" s="65"/>
      <c r="AE60" s="66">
        <v>12176</v>
      </c>
      <c r="AF60" s="67"/>
      <c r="AG60" s="66">
        <v>70014</v>
      </c>
      <c r="AH60" s="65"/>
      <c r="AI60" s="66">
        <f>1673+26661+5046+17097</f>
        <v>50477</v>
      </c>
      <c r="AJ60" s="65"/>
      <c r="AK60" s="65"/>
      <c r="AL60" s="65"/>
      <c r="AM60" s="65"/>
      <c r="AN60" s="65"/>
      <c r="AO60" s="65"/>
      <c r="AP60" s="65"/>
      <c r="AQ60" s="65">
        <f>AQ58+AQ57</f>
        <v>7582</v>
      </c>
      <c r="AR60" s="69"/>
      <c r="AS60" s="69"/>
      <c r="AT60" s="71"/>
      <c r="AU60" s="71"/>
    </row>
    <row r="61" spans="1:47" s="51" customFormat="1" ht="64.5" thickTop="1">
      <c r="A61" s="80">
        <v>18</v>
      </c>
      <c r="B61" s="142" t="s">
        <v>7</v>
      </c>
      <c r="C61" s="143">
        <v>10</v>
      </c>
      <c r="D61" s="171"/>
      <c r="E61" s="171"/>
      <c r="F61" s="106"/>
      <c r="G61" s="106"/>
      <c r="H61" s="16" t="s">
        <v>125</v>
      </c>
      <c r="I61" s="14">
        <v>2600</v>
      </c>
      <c r="J61" s="16" t="s">
        <v>760</v>
      </c>
      <c r="K61" s="16">
        <v>693</v>
      </c>
      <c r="L61" s="15"/>
      <c r="M61" s="15"/>
      <c r="N61" s="15"/>
      <c r="O61" s="15"/>
      <c r="P61" s="15"/>
      <c r="Q61" s="15"/>
      <c r="R61" s="15"/>
      <c r="S61" s="15"/>
      <c r="T61" s="18" t="s">
        <v>498</v>
      </c>
      <c r="U61" s="14">
        <v>4500</v>
      </c>
      <c r="V61" s="16"/>
      <c r="W61" s="14"/>
      <c r="X61" s="18" t="s">
        <v>556</v>
      </c>
      <c r="Y61" s="14">
        <v>120000</v>
      </c>
      <c r="Z61" s="16" t="s">
        <v>359</v>
      </c>
      <c r="AA61" s="15">
        <v>74623</v>
      </c>
      <c r="AB61" s="198" t="s">
        <v>158</v>
      </c>
      <c r="AC61" s="14">
        <v>16758</v>
      </c>
      <c r="AD61" s="16" t="s">
        <v>350</v>
      </c>
      <c r="AE61" s="16">
        <v>4518</v>
      </c>
      <c r="AF61" s="24" t="s">
        <v>644</v>
      </c>
      <c r="AG61" s="16" t="s">
        <v>190</v>
      </c>
      <c r="AH61" s="16" t="s">
        <v>375</v>
      </c>
      <c r="AI61" s="16" t="s">
        <v>758</v>
      </c>
      <c r="AJ61" s="15"/>
      <c r="AK61" s="15"/>
      <c r="AL61" s="15"/>
      <c r="AM61" s="15"/>
      <c r="AN61" s="24"/>
      <c r="AO61" s="15"/>
      <c r="AP61" s="16"/>
      <c r="AQ61" s="20"/>
      <c r="AR61" s="76" t="s">
        <v>245</v>
      </c>
      <c r="AS61" s="27">
        <v>5200</v>
      </c>
      <c r="AT61" s="26"/>
      <c r="AU61" s="26"/>
    </row>
    <row r="62" spans="1:47" s="51" customFormat="1" ht="102">
      <c r="A62" s="81"/>
      <c r="B62" s="129"/>
      <c r="C62" s="130"/>
      <c r="D62" s="109"/>
      <c r="E62" s="109"/>
      <c r="F62" s="131"/>
      <c r="G62" s="107"/>
      <c r="H62" s="125"/>
      <c r="I62" s="125"/>
      <c r="J62" s="18" t="s">
        <v>761</v>
      </c>
      <c r="K62" s="18" t="s">
        <v>762</v>
      </c>
      <c r="L62" s="125"/>
      <c r="M62" s="125"/>
      <c r="N62" s="125"/>
      <c r="O62" s="125"/>
      <c r="P62" s="125"/>
      <c r="Q62" s="125"/>
      <c r="R62" s="125"/>
      <c r="S62" s="125"/>
      <c r="T62" s="134" t="s">
        <v>499</v>
      </c>
      <c r="U62" s="127">
        <v>6400</v>
      </c>
      <c r="V62" s="125"/>
      <c r="W62" s="125"/>
      <c r="X62" s="125"/>
      <c r="Y62" s="125"/>
      <c r="Z62" s="13" t="s">
        <v>759</v>
      </c>
      <c r="AA62" s="57">
        <v>19319</v>
      </c>
      <c r="AB62" s="19"/>
      <c r="AC62" s="125"/>
      <c r="AD62" s="125"/>
      <c r="AE62" s="125"/>
      <c r="AF62" s="25"/>
      <c r="AG62" s="57"/>
      <c r="AH62" s="13" t="s">
        <v>477</v>
      </c>
      <c r="AI62" s="21">
        <v>10521</v>
      </c>
      <c r="AJ62" s="57"/>
      <c r="AK62" s="57"/>
      <c r="AL62" s="57"/>
      <c r="AM62" s="57"/>
      <c r="AN62" s="25"/>
      <c r="AO62" s="125"/>
      <c r="AP62" s="13"/>
      <c r="AQ62" s="21"/>
      <c r="AR62" s="22"/>
      <c r="AS62" s="22"/>
      <c r="AT62" s="50"/>
      <c r="AU62" s="50"/>
    </row>
    <row r="63" spans="1:47" s="51" customFormat="1" ht="13.5" thickBot="1">
      <c r="A63" s="82"/>
      <c r="B63" s="169" t="s">
        <v>21</v>
      </c>
      <c r="C63" s="170"/>
      <c r="D63" s="63">
        <v>101227.5</v>
      </c>
      <c r="E63" s="63">
        <v>-150630.99</v>
      </c>
      <c r="F63" s="64">
        <f>SUM(I63,M63,Q63,U63,Y63,AC63,AG63,AK63,AO63,AS63)</f>
        <v>177402</v>
      </c>
      <c r="G63" s="64">
        <v>131705</v>
      </c>
      <c r="H63" s="65"/>
      <c r="I63" s="66">
        <v>2600</v>
      </c>
      <c r="J63" s="65"/>
      <c r="K63" s="65">
        <f>11778+693+4382</f>
        <v>16853</v>
      </c>
      <c r="L63" s="65"/>
      <c r="M63" s="65"/>
      <c r="N63" s="65"/>
      <c r="O63" s="65"/>
      <c r="P63" s="65"/>
      <c r="Q63" s="65"/>
      <c r="R63" s="65"/>
      <c r="S63" s="65"/>
      <c r="T63" s="65"/>
      <c r="U63" s="66">
        <v>10900</v>
      </c>
      <c r="V63" s="65"/>
      <c r="W63" s="66"/>
      <c r="X63" s="65"/>
      <c r="Y63" s="66">
        <v>120000</v>
      </c>
      <c r="Z63" s="65"/>
      <c r="AA63" s="65">
        <f>AA62+AA61</f>
        <v>93942</v>
      </c>
      <c r="AB63" s="65"/>
      <c r="AC63" s="66">
        <v>16758</v>
      </c>
      <c r="AD63" s="65"/>
      <c r="AE63" s="65">
        <v>4518</v>
      </c>
      <c r="AF63" s="67"/>
      <c r="AG63" s="66">
        <v>21944</v>
      </c>
      <c r="AH63" s="65"/>
      <c r="AI63" s="66">
        <f>5162+709+10521</f>
        <v>16392</v>
      </c>
      <c r="AJ63" s="65"/>
      <c r="AK63" s="65"/>
      <c r="AL63" s="65"/>
      <c r="AM63" s="65"/>
      <c r="AN63" s="65"/>
      <c r="AO63" s="65"/>
      <c r="AP63" s="65"/>
      <c r="AQ63" s="66"/>
      <c r="AR63" s="69"/>
      <c r="AS63" s="70">
        <v>5200</v>
      </c>
      <c r="AT63" s="71"/>
      <c r="AU63" s="71"/>
    </row>
    <row r="64" spans="1:47" s="51" customFormat="1" ht="128.25" thickTop="1">
      <c r="A64" s="80">
        <v>19</v>
      </c>
      <c r="B64" s="142" t="s">
        <v>7</v>
      </c>
      <c r="C64" s="143">
        <v>12</v>
      </c>
      <c r="D64" s="171"/>
      <c r="E64" s="171"/>
      <c r="F64" s="106"/>
      <c r="G64" s="106"/>
      <c r="H64" s="16" t="s">
        <v>126</v>
      </c>
      <c r="I64" s="14">
        <v>2600</v>
      </c>
      <c r="J64" s="15"/>
      <c r="K64" s="14"/>
      <c r="L64" s="15"/>
      <c r="M64" s="15"/>
      <c r="N64" s="57"/>
      <c r="O64" s="57"/>
      <c r="P64" s="13"/>
      <c r="Q64" s="15"/>
      <c r="R64" s="15"/>
      <c r="S64" s="15"/>
      <c r="T64" s="18" t="s">
        <v>498</v>
      </c>
      <c r="U64" s="14">
        <v>4500</v>
      </c>
      <c r="V64" s="13" t="s">
        <v>763</v>
      </c>
      <c r="W64" s="57">
        <v>137</v>
      </c>
      <c r="X64" s="13"/>
      <c r="Y64" s="15"/>
      <c r="Z64" s="57"/>
      <c r="AA64" s="57"/>
      <c r="AB64" s="19" t="s">
        <v>157</v>
      </c>
      <c r="AC64" s="14">
        <v>26068</v>
      </c>
      <c r="AD64" s="16" t="s">
        <v>310</v>
      </c>
      <c r="AE64" s="20">
        <v>13865</v>
      </c>
      <c r="AF64" s="24" t="s">
        <v>193</v>
      </c>
      <c r="AG64" s="16" t="s">
        <v>194</v>
      </c>
      <c r="AH64" s="16" t="s">
        <v>766</v>
      </c>
      <c r="AI64" s="16" t="s">
        <v>765</v>
      </c>
      <c r="AJ64" s="16" t="s">
        <v>353</v>
      </c>
      <c r="AK64" s="15">
        <v>998</v>
      </c>
      <c r="AL64" s="15"/>
      <c r="AM64" s="15"/>
      <c r="AN64" s="24" t="s">
        <v>191</v>
      </c>
      <c r="AO64" s="14">
        <v>6840</v>
      </c>
      <c r="AP64" s="16" t="s">
        <v>414</v>
      </c>
      <c r="AQ64" s="15">
        <v>3303</v>
      </c>
      <c r="AR64" s="149"/>
      <c r="AS64" s="149"/>
      <c r="AT64" s="26"/>
      <c r="AU64" s="26"/>
    </row>
    <row r="65" spans="1:47" s="51" customFormat="1" ht="89.25">
      <c r="A65" s="81"/>
      <c r="B65" s="183"/>
      <c r="C65" s="184"/>
      <c r="D65" s="108"/>
      <c r="E65" s="108"/>
      <c r="F65" s="110"/>
      <c r="G65" s="185"/>
      <c r="H65" s="18"/>
      <c r="I65" s="125"/>
      <c r="J65" s="18"/>
      <c r="K65" s="127"/>
      <c r="L65" s="125"/>
      <c r="M65" s="125"/>
      <c r="N65" s="125"/>
      <c r="O65" s="125"/>
      <c r="P65" s="125"/>
      <c r="Q65" s="125"/>
      <c r="R65" s="125"/>
      <c r="S65" s="125"/>
      <c r="T65" s="134" t="s">
        <v>499</v>
      </c>
      <c r="U65" s="127">
        <v>6400</v>
      </c>
      <c r="V65" s="13" t="s">
        <v>764</v>
      </c>
      <c r="W65" s="57">
        <v>149</v>
      </c>
      <c r="X65" s="57"/>
      <c r="Y65" s="125"/>
      <c r="Z65" s="125"/>
      <c r="AA65" s="125"/>
      <c r="AB65" s="125"/>
      <c r="AC65" s="125"/>
      <c r="AD65" s="18"/>
      <c r="AE65" s="127"/>
      <c r="AF65" s="25"/>
      <c r="AG65" s="125"/>
      <c r="AH65" s="18" t="s">
        <v>456</v>
      </c>
      <c r="AI65" s="125">
        <v>1343</v>
      </c>
      <c r="AJ65" s="125"/>
      <c r="AK65" s="125"/>
      <c r="AL65" s="125"/>
      <c r="AM65" s="125"/>
      <c r="AN65" s="25" t="s">
        <v>192</v>
      </c>
      <c r="AO65" s="127">
        <v>6840</v>
      </c>
      <c r="AP65" s="18" t="s">
        <v>339</v>
      </c>
      <c r="AQ65" s="217">
        <v>2839</v>
      </c>
      <c r="AR65" s="22"/>
      <c r="AS65" s="22"/>
      <c r="AT65" s="50"/>
      <c r="AU65" s="50"/>
    </row>
    <row r="66" spans="1:47" s="51" customFormat="1" ht="63.75">
      <c r="A66" s="81"/>
      <c r="B66" s="129"/>
      <c r="C66" s="130"/>
      <c r="D66" s="109"/>
      <c r="E66" s="109"/>
      <c r="F66" s="131"/>
      <c r="G66" s="107"/>
      <c r="H66" s="57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18" t="s">
        <v>500</v>
      </c>
      <c r="U66" s="154">
        <v>10000</v>
      </c>
      <c r="V66" s="125"/>
      <c r="W66" s="125"/>
      <c r="Y66" s="78"/>
      <c r="Z66" s="78"/>
      <c r="AA66" s="78"/>
      <c r="AB66" s="78"/>
      <c r="AC66" s="78"/>
      <c r="AD66" s="78"/>
      <c r="AE66" s="78"/>
      <c r="AF66" s="136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22"/>
      <c r="AS66" s="22"/>
      <c r="AT66" s="50"/>
      <c r="AU66" s="50"/>
    </row>
    <row r="67" spans="1:47" s="51" customFormat="1" ht="13.5" thickBot="1">
      <c r="A67" s="82"/>
      <c r="B67" s="169" t="s">
        <v>21</v>
      </c>
      <c r="C67" s="170"/>
      <c r="D67" s="63">
        <v>170729</v>
      </c>
      <c r="E67" s="63">
        <v>22535.34</v>
      </c>
      <c r="F67" s="64">
        <f>SUM(I67,M67,Q67,U67,Y67,AC67,AG67,AK67,AO67,AS67)</f>
        <v>142769</v>
      </c>
      <c r="G67" s="64">
        <v>25289</v>
      </c>
      <c r="H67" s="65"/>
      <c r="I67" s="66">
        <v>2600</v>
      </c>
      <c r="J67" s="65"/>
      <c r="K67" s="66"/>
      <c r="L67" s="65"/>
      <c r="M67" s="65"/>
      <c r="N67" s="65"/>
      <c r="O67" s="65"/>
      <c r="P67" s="65"/>
      <c r="Q67" s="65"/>
      <c r="R67" s="65"/>
      <c r="S67" s="65"/>
      <c r="T67" s="65"/>
      <c r="U67" s="66">
        <v>20900</v>
      </c>
      <c r="V67" s="65"/>
      <c r="W67" s="65">
        <f>W64+W65</f>
        <v>286</v>
      </c>
      <c r="X67" s="65"/>
      <c r="Y67" s="65"/>
      <c r="Z67" s="65"/>
      <c r="AA67" s="65"/>
      <c r="AB67" s="65"/>
      <c r="AC67" s="66">
        <v>26068</v>
      </c>
      <c r="AD67" s="65"/>
      <c r="AE67" s="66">
        <f>AE64</f>
        <v>13865</v>
      </c>
      <c r="AF67" s="67"/>
      <c r="AG67" s="66">
        <v>79521</v>
      </c>
      <c r="AH67" s="65"/>
      <c r="AI67" s="65">
        <f>1343+736+998+1919</f>
        <v>4996</v>
      </c>
      <c r="AJ67" s="65"/>
      <c r="AK67" s="65"/>
      <c r="AL67" s="65"/>
      <c r="AM67" s="65"/>
      <c r="AN67" s="65"/>
      <c r="AO67" s="66">
        <v>13680</v>
      </c>
      <c r="AP67" s="65"/>
      <c r="AQ67" s="66">
        <f>AQ65+AQ64</f>
        <v>6142</v>
      </c>
      <c r="AR67" s="69"/>
      <c r="AS67" s="69"/>
      <c r="AT67" s="71"/>
      <c r="AU67" s="71"/>
    </row>
    <row r="68" spans="1:47" s="51" customFormat="1" ht="166.5" thickTop="1">
      <c r="A68" s="80">
        <v>20</v>
      </c>
      <c r="B68" s="142" t="s">
        <v>7</v>
      </c>
      <c r="C68" s="142">
        <v>14</v>
      </c>
      <c r="D68" s="171"/>
      <c r="E68" s="171"/>
      <c r="F68" s="106"/>
      <c r="G68" s="106"/>
      <c r="H68" s="16" t="s">
        <v>128</v>
      </c>
      <c r="I68" s="14">
        <v>100000</v>
      </c>
      <c r="J68" s="16" t="s">
        <v>774</v>
      </c>
      <c r="K68" s="16" t="s">
        <v>775</v>
      </c>
      <c r="L68" s="15"/>
      <c r="M68" s="15"/>
      <c r="N68" s="15"/>
      <c r="O68" s="15"/>
      <c r="P68" s="16" t="s">
        <v>127</v>
      </c>
      <c r="Q68" s="14">
        <v>5500</v>
      </c>
      <c r="R68" s="16" t="s">
        <v>326</v>
      </c>
      <c r="S68" s="20">
        <v>5402</v>
      </c>
      <c r="T68" s="18" t="s">
        <v>503</v>
      </c>
      <c r="U68" s="14">
        <v>6000</v>
      </c>
      <c r="V68" s="16" t="s">
        <v>492</v>
      </c>
      <c r="W68" s="14">
        <f>407+2729+3235</f>
        <v>6371</v>
      </c>
      <c r="X68" s="15"/>
      <c r="Y68" s="15"/>
      <c r="Z68" s="57"/>
      <c r="AA68" s="57"/>
      <c r="AB68" s="13" t="s">
        <v>196</v>
      </c>
      <c r="AC68" s="14">
        <v>31654</v>
      </c>
      <c r="AD68" s="16" t="s">
        <v>773</v>
      </c>
      <c r="AE68" s="20">
        <v>10093</v>
      </c>
      <c r="AF68" s="24" t="s">
        <v>655</v>
      </c>
      <c r="AG68" s="16" t="s">
        <v>195</v>
      </c>
      <c r="AH68" s="16" t="s">
        <v>769</v>
      </c>
      <c r="AI68" s="16" t="s">
        <v>768</v>
      </c>
      <c r="AJ68" s="15"/>
      <c r="AK68" s="15"/>
      <c r="AL68" s="15"/>
      <c r="AM68" s="14"/>
      <c r="AN68" s="24"/>
      <c r="AO68" s="15"/>
      <c r="AP68" s="16" t="s">
        <v>771</v>
      </c>
      <c r="AQ68" s="20" t="s">
        <v>770</v>
      </c>
      <c r="AR68" s="149"/>
      <c r="AS68" s="149"/>
      <c r="AT68" s="26"/>
      <c r="AU68" s="26"/>
    </row>
    <row r="69" spans="1:47" s="51" customFormat="1" ht="89.25">
      <c r="A69" s="81"/>
      <c r="B69" s="183"/>
      <c r="C69" s="183"/>
      <c r="D69" s="108"/>
      <c r="E69" s="108"/>
      <c r="F69" s="110"/>
      <c r="G69" s="185"/>
      <c r="H69" s="125"/>
      <c r="I69" s="125"/>
      <c r="J69" s="18" t="s">
        <v>761</v>
      </c>
      <c r="K69" s="18">
        <v>3922</v>
      </c>
      <c r="L69" s="125"/>
      <c r="M69" s="125"/>
      <c r="N69" s="125"/>
      <c r="O69" s="125"/>
      <c r="P69" s="125"/>
      <c r="Q69" s="125"/>
      <c r="R69" s="125"/>
      <c r="S69" s="125"/>
      <c r="T69" s="18" t="s">
        <v>499</v>
      </c>
      <c r="U69" s="127">
        <v>6400</v>
      </c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25"/>
      <c r="AG69" s="125"/>
      <c r="AH69" s="18" t="s">
        <v>432</v>
      </c>
      <c r="AI69" s="125">
        <v>10956</v>
      </c>
      <c r="AJ69" s="125"/>
      <c r="AK69" s="125"/>
      <c r="AL69" s="125"/>
      <c r="AM69" s="125"/>
      <c r="AN69" s="25"/>
      <c r="AO69" s="125"/>
      <c r="AP69" s="18" t="s">
        <v>772</v>
      </c>
      <c r="AQ69" s="125">
        <v>6204</v>
      </c>
      <c r="AR69" s="22"/>
      <c r="AS69" s="22"/>
      <c r="AT69" s="50"/>
      <c r="AU69" s="50"/>
    </row>
    <row r="70" spans="1:47" s="51" customFormat="1" ht="114.75">
      <c r="A70" s="81"/>
      <c r="B70" s="150"/>
      <c r="C70" s="150"/>
      <c r="D70" s="107"/>
      <c r="E70" s="107"/>
      <c r="F70" s="107"/>
      <c r="G70" s="107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18" t="s">
        <v>500</v>
      </c>
      <c r="U70" s="154">
        <v>10000</v>
      </c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136"/>
      <c r="AG70" s="78"/>
      <c r="AH70" s="153" t="s">
        <v>767</v>
      </c>
      <c r="AI70" s="78">
        <v>27220</v>
      </c>
      <c r="AJ70" s="153"/>
      <c r="AK70" s="78"/>
      <c r="AL70" s="78"/>
      <c r="AM70" s="78"/>
      <c r="AN70" s="136"/>
      <c r="AO70" s="78"/>
      <c r="AP70" s="78"/>
      <c r="AQ70" s="78"/>
      <c r="AR70" s="158"/>
      <c r="AS70" s="158"/>
      <c r="AT70" s="159"/>
      <c r="AU70" s="159"/>
    </row>
    <row r="71" spans="1:47" s="51" customFormat="1" ht="13.5" thickBot="1">
      <c r="A71" s="82"/>
      <c r="B71" s="169" t="s">
        <v>21</v>
      </c>
      <c r="C71" s="170"/>
      <c r="D71" s="63">
        <v>181424</v>
      </c>
      <c r="E71" s="63">
        <v>2107.31</v>
      </c>
      <c r="F71" s="172">
        <f>SUM(I71,M71,Q71,U71,Y71,AC71,AG71,AK71,AO71,AS71)</f>
        <v>214211</v>
      </c>
      <c r="G71" s="64">
        <v>319509</v>
      </c>
      <c r="H71" s="65"/>
      <c r="I71" s="66">
        <v>100000</v>
      </c>
      <c r="J71" s="65"/>
      <c r="K71" s="65">
        <f>83476+77156+3922+5959+4363</f>
        <v>174876</v>
      </c>
      <c r="L71" s="65"/>
      <c r="M71" s="65"/>
      <c r="N71" s="65"/>
      <c r="O71" s="65"/>
      <c r="P71" s="65"/>
      <c r="Q71" s="66">
        <v>5500</v>
      </c>
      <c r="R71" s="65"/>
      <c r="S71" s="66">
        <v>5402</v>
      </c>
      <c r="T71" s="65"/>
      <c r="U71" s="66">
        <v>22400</v>
      </c>
      <c r="V71" s="65"/>
      <c r="W71" s="66">
        <f>W68</f>
        <v>6371</v>
      </c>
      <c r="X71" s="65"/>
      <c r="Y71" s="65"/>
      <c r="Z71" s="65"/>
      <c r="AA71" s="65"/>
      <c r="AB71" s="65"/>
      <c r="AC71" s="66">
        <v>31654</v>
      </c>
      <c r="AD71" s="65"/>
      <c r="AE71" s="66">
        <f>AE68</f>
        <v>10093</v>
      </c>
      <c r="AF71" s="67"/>
      <c r="AG71" s="66">
        <v>54657</v>
      </c>
      <c r="AH71" s="65"/>
      <c r="AI71" s="65">
        <f>2010+5474+2067+6243+4146+10956+27220</f>
        <v>58116</v>
      </c>
      <c r="AJ71" s="65"/>
      <c r="AK71" s="65"/>
      <c r="AL71" s="65"/>
      <c r="AM71" s="66"/>
      <c r="AN71" s="65"/>
      <c r="AO71" s="65"/>
      <c r="AP71" s="65"/>
      <c r="AQ71" s="66">
        <f>1539+10078+37690+9140+6204</f>
        <v>64651</v>
      </c>
      <c r="AR71" s="69"/>
      <c r="AS71" s="69"/>
      <c r="AT71" s="71"/>
      <c r="AU71" s="71"/>
    </row>
    <row r="72" spans="1:47" s="51" customFormat="1" ht="103.5" thickTop="1" thickBot="1">
      <c r="A72" s="80">
        <v>21</v>
      </c>
      <c r="B72" s="143" t="s">
        <v>10</v>
      </c>
      <c r="C72" s="143">
        <v>2</v>
      </c>
      <c r="D72" s="171"/>
      <c r="E72" s="171"/>
      <c r="F72" s="106"/>
      <c r="G72" s="106"/>
      <c r="H72" s="16" t="s">
        <v>129</v>
      </c>
      <c r="I72" s="20">
        <v>3900</v>
      </c>
      <c r="J72" s="16" t="s">
        <v>376</v>
      </c>
      <c r="K72" s="20">
        <v>2332</v>
      </c>
      <c r="L72" s="15"/>
      <c r="M72" s="15"/>
      <c r="N72" s="15"/>
      <c r="O72" s="15"/>
      <c r="P72" s="16" t="s">
        <v>521</v>
      </c>
      <c r="Q72" s="14">
        <v>10000</v>
      </c>
      <c r="R72" s="16" t="s">
        <v>335</v>
      </c>
      <c r="S72" s="15">
        <v>3026</v>
      </c>
      <c r="T72" s="18" t="s">
        <v>564</v>
      </c>
      <c r="U72" s="14">
        <v>8000</v>
      </c>
      <c r="V72" s="16" t="s">
        <v>777</v>
      </c>
      <c r="W72" s="16" t="s">
        <v>776</v>
      </c>
      <c r="X72" s="15"/>
      <c r="Y72" s="15"/>
      <c r="Z72" s="15"/>
      <c r="AA72" s="15"/>
      <c r="AB72" s="198" t="s">
        <v>157</v>
      </c>
      <c r="AC72" s="14">
        <v>26068</v>
      </c>
      <c r="AD72" s="16" t="s">
        <v>778</v>
      </c>
      <c r="AE72" s="14">
        <v>4239</v>
      </c>
      <c r="AF72" s="24" t="s">
        <v>197</v>
      </c>
      <c r="AG72" s="16" t="s">
        <v>198</v>
      </c>
      <c r="AH72" s="13" t="s">
        <v>407</v>
      </c>
      <c r="AI72" s="62" t="s">
        <v>779</v>
      </c>
      <c r="AJ72" s="147"/>
      <c r="AK72" s="15"/>
      <c r="AL72" s="15"/>
      <c r="AM72" s="15"/>
      <c r="AN72" s="24" t="s">
        <v>199</v>
      </c>
      <c r="AO72" s="14">
        <v>5320</v>
      </c>
      <c r="AP72" s="25" t="s">
        <v>780</v>
      </c>
      <c r="AQ72" s="62">
        <v>1191</v>
      </c>
      <c r="AR72" s="149"/>
      <c r="AS72" s="149"/>
      <c r="AT72" s="26"/>
      <c r="AU72" s="26"/>
    </row>
    <row r="73" spans="1:47" s="51" customFormat="1" ht="90" thickTop="1">
      <c r="A73" s="81"/>
      <c r="B73" s="130"/>
      <c r="C73" s="130"/>
      <c r="D73" s="109"/>
      <c r="E73" s="109"/>
      <c r="F73" s="131"/>
      <c r="G73" s="107"/>
      <c r="H73" s="218"/>
      <c r="I73" s="78"/>
      <c r="J73" s="153" t="s">
        <v>781</v>
      </c>
      <c r="K73" s="154">
        <v>39765</v>
      </c>
      <c r="L73" s="78"/>
      <c r="M73" s="78"/>
      <c r="N73" s="78"/>
      <c r="O73" s="78"/>
      <c r="P73" s="13"/>
      <c r="Q73" s="78"/>
      <c r="R73" s="78"/>
      <c r="S73" s="78"/>
      <c r="T73" s="18" t="s">
        <v>502</v>
      </c>
      <c r="U73" s="154">
        <v>12800</v>
      </c>
      <c r="V73" s="78"/>
      <c r="W73" s="78"/>
      <c r="X73" s="78"/>
      <c r="Y73" s="78"/>
      <c r="Z73" s="78"/>
      <c r="AA73" s="78"/>
      <c r="AB73" s="78"/>
      <c r="AC73" s="78"/>
      <c r="AD73" s="16" t="s">
        <v>352</v>
      </c>
      <c r="AE73" s="14">
        <v>3509</v>
      </c>
      <c r="AF73" s="136"/>
      <c r="AG73" s="78"/>
      <c r="AH73" s="153"/>
      <c r="AI73" s="201"/>
      <c r="AJ73" s="78"/>
      <c r="AK73" s="78"/>
      <c r="AL73" s="78"/>
      <c r="AM73" s="78"/>
      <c r="AN73" s="25" t="s">
        <v>200</v>
      </c>
      <c r="AO73" s="154">
        <v>3040</v>
      </c>
      <c r="AP73" s="153"/>
      <c r="AQ73" s="154"/>
      <c r="AR73" s="22"/>
      <c r="AS73" s="22"/>
      <c r="AT73" s="50"/>
      <c r="AU73" s="50"/>
    </row>
    <row r="74" spans="1:47" s="51" customFormat="1" ht="13.5" thickBot="1">
      <c r="A74" s="82"/>
      <c r="B74" s="169" t="s">
        <v>21</v>
      </c>
      <c r="C74" s="170"/>
      <c r="D74" s="63">
        <v>256604.79999999999</v>
      </c>
      <c r="E74" s="63">
        <v>-24545.22</v>
      </c>
      <c r="F74" s="64">
        <f>SUM(I74,M74,Q74,U74,Y74,AC74,AG74,AK74,AO74,AS74)</f>
        <v>134564</v>
      </c>
      <c r="G74" s="64">
        <v>100001</v>
      </c>
      <c r="H74" s="65"/>
      <c r="I74" s="65">
        <v>3900</v>
      </c>
      <c r="J74" s="65"/>
      <c r="K74" s="66">
        <f>K73+K72</f>
        <v>42097</v>
      </c>
      <c r="L74" s="65"/>
      <c r="M74" s="65"/>
      <c r="N74" s="65"/>
      <c r="O74" s="65"/>
      <c r="P74" s="65"/>
      <c r="Q74" s="66">
        <v>10000</v>
      </c>
      <c r="R74" s="65"/>
      <c r="S74" s="65">
        <v>3026</v>
      </c>
      <c r="T74" s="65"/>
      <c r="U74" s="66">
        <v>20800</v>
      </c>
      <c r="V74" s="65"/>
      <c r="W74" s="65">
        <f>1524+1208</f>
        <v>2732</v>
      </c>
      <c r="X74" s="65"/>
      <c r="Y74" s="65"/>
      <c r="Z74" s="65"/>
      <c r="AA74" s="65"/>
      <c r="AB74" s="65"/>
      <c r="AC74" s="66">
        <v>26068</v>
      </c>
      <c r="AD74" s="65"/>
      <c r="AE74" s="66">
        <f>AE72+AE73</f>
        <v>7748</v>
      </c>
      <c r="AF74" s="67"/>
      <c r="AG74" s="66">
        <v>65436</v>
      </c>
      <c r="AH74" s="65"/>
      <c r="AI74" s="66">
        <f>10288+11236+19400+1822+461</f>
        <v>43207</v>
      </c>
      <c r="AJ74" s="65"/>
      <c r="AK74" s="65"/>
      <c r="AL74" s="65"/>
      <c r="AM74" s="65"/>
      <c r="AN74" s="65"/>
      <c r="AO74" s="66">
        <v>8360</v>
      </c>
      <c r="AP74" s="65"/>
      <c r="AQ74" s="66">
        <f>AQ72</f>
        <v>1191</v>
      </c>
      <c r="AR74" s="69"/>
      <c r="AS74" s="69"/>
      <c r="AT74" s="71"/>
      <c r="AU74" s="71"/>
    </row>
    <row r="75" spans="1:47" s="51" customFormat="1" ht="102" customHeight="1" thickTop="1">
      <c r="A75" s="80">
        <v>22</v>
      </c>
      <c r="B75" s="219" t="s">
        <v>10</v>
      </c>
      <c r="C75" s="220" t="s">
        <v>28</v>
      </c>
      <c r="D75" s="221"/>
      <c r="E75" s="221"/>
      <c r="F75" s="197"/>
      <c r="G75" s="197"/>
      <c r="H75" s="16"/>
      <c r="I75" s="15"/>
      <c r="J75" s="16"/>
      <c r="K75" s="20"/>
      <c r="L75" s="15"/>
      <c r="M75" s="15"/>
      <c r="N75" s="15"/>
      <c r="O75" s="15"/>
      <c r="P75" s="16" t="s">
        <v>604</v>
      </c>
      <c r="Q75" s="14">
        <v>19600</v>
      </c>
      <c r="R75" s="15"/>
      <c r="S75" s="15"/>
      <c r="T75" s="18" t="s">
        <v>501</v>
      </c>
      <c r="U75" s="14">
        <v>7500</v>
      </c>
      <c r="V75" s="16" t="s">
        <v>782</v>
      </c>
      <c r="W75" s="15">
        <v>3325</v>
      </c>
      <c r="X75" s="15"/>
      <c r="Y75" s="15"/>
      <c r="Z75" s="15"/>
      <c r="AA75" s="15"/>
      <c r="AB75" s="15"/>
      <c r="AC75" s="15"/>
      <c r="AD75" s="16" t="s">
        <v>784</v>
      </c>
      <c r="AE75" s="16" t="s">
        <v>783</v>
      </c>
      <c r="AF75" s="24"/>
      <c r="AG75" s="15"/>
      <c r="AH75" s="16"/>
      <c r="AI75" s="16"/>
      <c r="AJ75" s="15"/>
      <c r="AK75" s="15"/>
      <c r="AL75" s="15"/>
      <c r="AM75" s="15"/>
      <c r="AN75" s="15"/>
      <c r="AO75" s="15"/>
      <c r="AP75" s="16" t="s">
        <v>786</v>
      </c>
      <c r="AQ75" s="16" t="s">
        <v>785</v>
      </c>
      <c r="AR75" s="149"/>
      <c r="AS75" s="149"/>
      <c r="AT75" s="26"/>
      <c r="AU75" s="26"/>
    </row>
    <row r="76" spans="1:47" s="51" customFormat="1" ht="13.5" thickBot="1">
      <c r="A76" s="82"/>
      <c r="B76" s="169" t="s">
        <v>21</v>
      </c>
      <c r="C76" s="170"/>
      <c r="D76" s="222">
        <v>200289.9</v>
      </c>
      <c r="E76" s="222">
        <v>-176824.03</v>
      </c>
      <c r="F76" s="64">
        <f>SUM(I76,M76,Q76,U76,Y76,AC76,AG76,AK76,AO76,AS76)</f>
        <v>27100</v>
      </c>
      <c r="G76" s="223">
        <v>23802</v>
      </c>
      <c r="H76" s="78"/>
      <c r="I76" s="78"/>
      <c r="J76" s="78"/>
      <c r="K76" s="154"/>
      <c r="L76" s="78"/>
      <c r="M76" s="78"/>
      <c r="N76" s="78"/>
      <c r="O76" s="78"/>
      <c r="P76" s="78"/>
      <c r="Q76" s="154">
        <v>19600</v>
      </c>
      <c r="R76" s="78"/>
      <c r="S76" s="78"/>
      <c r="T76" s="65"/>
      <c r="U76" s="154">
        <v>7500</v>
      </c>
      <c r="V76" s="78"/>
      <c r="W76" s="78">
        <f>W75</f>
        <v>3325</v>
      </c>
      <c r="X76" s="78"/>
      <c r="Y76" s="78"/>
      <c r="Z76" s="78"/>
      <c r="AA76" s="78"/>
      <c r="AB76" s="65"/>
      <c r="AC76" s="65"/>
      <c r="AD76" s="65"/>
      <c r="AE76" s="65">
        <f>2737+4289</f>
        <v>7026</v>
      </c>
      <c r="AF76" s="136"/>
      <c r="AG76" s="78"/>
      <c r="AH76" s="78"/>
      <c r="AI76" s="154"/>
      <c r="AJ76" s="78"/>
      <c r="AK76" s="78"/>
      <c r="AL76" s="78"/>
      <c r="AM76" s="78"/>
      <c r="AN76" s="78"/>
      <c r="AO76" s="78"/>
      <c r="AP76" s="78"/>
      <c r="AQ76" s="154">
        <f>4177+4854+4177</f>
        <v>13208</v>
      </c>
      <c r="AR76" s="69"/>
      <c r="AS76" s="69"/>
      <c r="AT76" s="71"/>
      <c r="AU76" s="71"/>
    </row>
    <row r="77" spans="1:47" s="51" customFormat="1" ht="64.5" thickTop="1">
      <c r="A77" s="80">
        <v>23</v>
      </c>
      <c r="B77" s="143" t="s">
        <v>10</v>
      </c>
      <c r="C77" s="143">
        <v>4</v>
      </c>
      <c r="D77" s="224" t="s">
        <v>248</v>
      </c>
      <c r="E77" s="225"/>
      <c r="F77" s="226"/>
      <c r="G77" s="106"/>
      <c r="H77" s="15"/>
      <c r="I77" s="15"/>
      <c r="J77" s="16" t="s">
        <v>787</v>
      </c>
      <c r="K77" s="15">
        <v>939</v>
      </c>
      <c r="L77" s="15"/>
      <c r="M77" s="15"/>
      <c r="N77" s="15"/>
      <c r="O77" s="15"/>
      <c r="P77" s="16"/>
      <c r="Q77" s="15"/>
      <c r="R77" s="15"/>
      <c r="S77" s="15"/>
      <c r="T77" s="18" t="s">
        <v>503</v>
      </c>
      <c r="U77" s="14">
        <v>6000</v>
      </c>
      <c r="V77" s="15"/>
      <c r="W77" s="15"/>
      <c r="X77" s="15"/>
      <c r="Y77" s="15"/>
      <c r="Z77" s="15"/>
      <c r="AA77" s="15"/>
      <c r="AB77" s="227" t="s">
        <v>174</v>
      </c>
      <c r="AC77" s="21">
        <v>8379</v>
      </c>
      <c r="AD77" s="57"/>
      <c r="AE77" s="57"/>
      <c r="AF77" s="24"/>
      <c r="AG77" s="16"/>
      <c r="AH77" s="15"/>
      <c r="AI77" s="14"/>
      <c r="AJ77" s="15"/>
      <c r="AK77" s="15"/>
      <c r="AL77" s="15"/>
      <c r="AM77" s="15"/>
      <c r="AN77" s="24"/>
      <c r="AO77" s="14"/>
      <c r="AP77" s="15"/>
      <c r="AQ77" s="15"/>
      <c r="AR77" s="149"/>
      <c r="AS77" s="149"/>
      <c r="AT77" s="26"/>
      <c r="AU77" s="26"/>
    </row>
    <row r="78" spans="1:47" s="51" customFormat="1" ht="89.25">
      <c r="A78" s="81"/>
      <c r="B78" s="130"/>
      <c r="C78" s="130"/>
      <c r="D78" s="228"/>
      <c r="E78" s="229"/>
      <c r="F78" s="230"/>
      <c r="G78" s="107"/>
      <c r="H78" s="231"/>
      <c r="I78" s="22"/>
      <c r="J78" s="50"/>
      <c r="K78" s="50"/>
      <c r="L78" s="50"/>
      <c r="M78" s="50"/>
      <c r="N78" s="50"/>
      <c r="O78" s="232"/>
      <c r="Q78" s="78"/>
      <c r="R78" s="78"/>
      <c r="S78" s="78"/>
      <c r="T78" s="18" t="s">
        <v>511</v>
      </c>
      <c r="U78" s="154">
        <v>9600</v>
      </c>
      <c r="V78" s="153"/>
      <c r="W78" s="78"/>
      <c r="X78" s="78"/>
      <c r="Y78" s="78"/>
      <c r="Z78" s="78"/>
      <c r="AA78" s="78"/>
      <c r="AB78" s="19"/>
      <c r="AC78" s="78"/>
      <c r="AD78" s="153"/>
      <c r="AE78" s="154"/>
      <c r="AF78" s="19"/>
      <c r="AG78" s="125"/>
      <c r="AH78" s="125"/>
      <c r="AI78" s="127"/>
      <c r="AJ78" s="125"/>
      <c r="AK78" s="125"/>
      <c r="AL78" s="78"/>
      <c r="AM78" s="78"/>
      <c r="AN78" s="153"/>
      <c r="AO78" s="78"/>
      <c r="AP78" s="125"/>
      <c r="AQ78" s="125"/>
      <c r="AR78" s="22"/>
      <c r="AS78" s="22"/>
      <c r="AT78" s="50"/>
      <c r="AU78" s="50"/>
    </row>
    <row r="79" spans="1:47" s="51" customFormat="1" ht="13.5" thickBot="1">
      <c r="A79" s="82"/>
      <c r="B79" s="169" t="s">
        <v>21</v>
      </c>
      <c r="C79" s="170"/>
      <c r="D79" s="63">
        <v>81654.399999999994</v>
      </c>
      <c r="E79" s="63">
        <v>36672.230000000003</v>
      </c>
      <c r="F79" s="64">
        <f>SUM(I79,M79,Q79,U79,Y79,AC79,AG79,AK79,AO79,AS79)</f>
        <v>23979</v>
      </c>
      <c r="G79" s="64">
        <v>939</v>
      </c>
      <c r="H79" s="65"/>
      <c r="I79" s="65"/>
      <c r="J79" s="65"/>
      <c r="K79" s="65">
        <v>939</v>
      </c>
      <c r="L79" s="65"/>
      <c r="M79" s="65"/>
      <c r="N79" s="65"/>
      <c r="O79" s="65"/>
      <c r="P79" s="65"/>
      <c r="Q79" s="65"/>
      <c r="R79" s="65"/>
      <c r="S79" s="65"/>
      <c r="T79" s="65"/>
      <c r="U79" s="66">
        <v>15600</v>
      </c>
      <c r="V79" s="65"/>
      <c r="W79" s="65"/>
      <c r="X79" s="65"/>
      <c r="Y79" s="65"/>
      <c r="Z79" s="65"/>
      <c r="AA79" s="65"/>
      <c r="AB79" s="65"/>
      <c r="AC79" s="66">
        <v>8379</v>
      </c>
      <c r="AD79" s="65"/>
      <c r="AE79" s="66"/>
      <c r="AF79" s="71"/>
      <c r="AG79" s="66"/>
      <c r="AH79" s="65"/>
      <c r="AI79" s="66"/>
      <c r="AJ79" s="65"/>
      <c r="AK79" s="65"/>
      <c r="AL79" s="65"/>
      <c r="AM79" s="65"/>
      <c r="AN79" s="65"/>
      <c r="AO79" s="66"/>
      <c r="AP79" s="65"/>
      <c r="AQ79" s="65"/>
      <c r="AR79" s="69"/>
      <c r="AS79" s="69"/>
      <c r="AT79" s="71"/>
      <c r="AU79" s="71"/>
    </row>
    <row r="80" spans="1:47" s="51" customFormat="1" ht="153.75" thickTop="1">
      <c r="A80" s="80">
        <v>24</v>
      </c>
      <c r="B80" s="142" t="s">
        <v>10</v>
      </c>
      <c r="C80" s="143">
        <v>6</v>
      </c>
      <c r="D80" s="163"/>
      <c r="E80" s="163"/>
      <c r="F80" s="145"/>
      <c r="G80" s="145"/>
      <c r="H80" s="233"/>
      <c r="I80" s="15"/>
      <c r="J80" s="16" t="s">
        <v>985</v>
      </c>
      <c r="K80" s="16">
        <v>3570</v>
      </c>
      <c r="L80" s="15"/>
      <c r="M80" s="15"/>
      <c r="N80" s="15"/>
      <c r="O80" s="15"/>
      <c r="P80" s="16" t="s">
        <v>521</v>
      </c>
      <c r="Q80" s="14">
        <v>10000</v>
      </c>
      <c r="R80" s="15"/>
      <c r="S80" s="15"/>
      <c r="T80" s="18" t="s">
        <v>503</v>
      </c>
      <c r="U80" s="14">
        <v>6000</v>
      </c>
      <c r="V80" s="16" t="s">
        <v>987</v>
      </c>
      <c r="W80" s="15">
        <v>115</v>
      </c>
      <c r="X80" s="15"/>
      <c r="Y80" s="15"/>
      <c r="Z80" s="57"/>
      <c r="AA80" s="57"/>
      <c r="AB80" s="19"/>
      <c r="AC80" s="15"/>
      <c r="AD80" s="15"/>
      <c r="AE80" s="15"/>
      <c r="AF80" s="24" t="s">
        <v>652</v>
      </c>
      <c r="AG80" s="16" t="s">
        <v>202</v>
      </c>
      <c r="AH80" s="16" t="s">
        <v>653</v>
      </c>
      <c r="AI80" s="20">
        <f>12365+5637+3772</f>
        <v>21774</v>
      </c>
      <c r="AJ80" s="15"/>
      <c r="AK80" s="15"/>
      <c r="AL80" s="57"/>
      <c r="AM80" s="57"/>
      <c r="AN80" s="24" t="s">
        <v>201</v>
      </c>
      <c r="AO80" s="14">
        <v>4014</v>
      </c>
      <c r="AP80" s="16" t="s">
        <v>337</v>
      </c>
      <c r="AQ80" s="16">
        <f>4269+2289</f>
        <v>6558</v>
      </c>
      <c r="AR80" s="76" t="s">
        <v>245</v>
      </c>
      <c r="AS80" s="27">
        <v>5200</v>
      </c>
      <c r="AT80" s="234" t="s">
        <v>986</v>
      </c>
      <c r="AU80" s="26">
        <v>22663</v>
      </c>
    </row>
    <row r="81" spans="1:47" s="51" customFormat="1" ht="89.25">
      <c r="A81" s="81"/>
      <c r="B81" s="150"/>
      <c r="C81" s="151"/>
      <c r="D81" s="152"/>
      <c r="E81" s="152"/>
      <c r="F81" s="152"/>
      <c r="G81" s="152"/>
      <c r="H81" s="218"/>
      <c r="I81" s="78"/>
      <c r="J81" s="78"/>
      <c r="K81" s="78"/>
      <c r="L81" s="78"/>
      <c r="M81" s="78"/>
      <c r="N81" s="78"/>
      <c r="O81" s="78"/>
      <c r="P81" s="153"/>
      <c r="Q81" s="154"/>
      <c r="R81" s="78"/>
      <c r="S81" s="78"/>
      <c r="T81" s="18" t="s">
        <v>511</v>
      </c>
      <c r="U81" s="154">
        <v>9600</v>
      </c>
      <c r="V81" s="153" t="s">
        <v>988</v>
      </c>
      <c r="W81" s="78">
        <v>16669</v>
      </c>
      <c r="X81" s="78"/>
      <c r="Y81" s="78"/>
      <c r="Z81" s="78"/>
      <c r="AA81" s="78"/>
      <c r="AB81" s="136"/>
      <c r="AC81" s="78"/>
      <c r="AD81" s="78"/>
      <c r="AE81" s="78"/>
      <c r="AF81" s="136"/>
      <c r="AG81" s="153"/>
      <c r="AH81" s="18"/>
      <c r="AI81" s="217"/>
      <c r="AJ81" s="125"/>
      <c r="AK81" s="125"/>
      <c r="AL81" s="78"/>
      <c r="AM81" s="78"/>
      <c r="AN81" s="136"/>
      <c r="AO81" s="21"/>
      <c r="AP81" s="78"/>
      <c r="AQ81" s="78"/>
      <c r="AR81" s="158"/>
      <c r="AS81" s="158"/>
      <c r="AT81" s="159"/>
      <c r="AU81" s="159"/>
    </row>
    <row r="82" spans="1:47" s="51" customFormat="1" ht="13.5" thickBot="1">
      <c r="A82" s="82"/>
      <c r="B82" s="169" t="s">
        <v>21</v>
      </c>
      <c r="C82" s="170"/>
      <c r="D82" s="63">
        <v>80196.479999999996</v>
      </c>
      <c r="E82" s="63">
        <v>3778.38</v>
      </c>
      <c r="F82" s="64">
        <f>SUM(I82,M82,Q82,U82,Y82,AC82,AG82,AK82,AO82,AS82)</f>
        <v>119764</v>
      </c>
      <c r="G82" s="64">
        <v>71349</v>
      </c>
      <c r="H82" s="65"/>
      <c r="I82" s="65"/>
      <c r="J82" s="65"/>
      <c r="K82" s="65">
        <f>K80</f>
        <v>3570</v>
      </c>
      <c r="L82" s="65"/>
      <c r="M82" s="65"/>
      <c r="N82" s="65"/>
      <c r="O82" s="65"/>
      <c r="P82" s="65"/>
      <c r="Q82" s="66">
        <v>10000</v>
      </c>
      <c r="R82" s="65"/>
      <c r="S82" s="65"/>
      <c r="T82" s="65"/>
      <c r="U82" s="66">
        <v>15600</v>
      </c>
      <c r="V82" s="65"/>
      <c r="W82" s="65">
        <f>W81+W80</f>
        <v>16784</v>
      </c>
      <c r="X82" s="65"/>
      <c r="Y82" s="65"/>
      <c r="Z82" s="65"/>
      <c r="AA82" s="65"/>
      <c r="AB82" s="65"/>
      <c r="AC82" s="65"/>
      <c r="AD82" s="65"/>
      <c r="AE82" s="65"/>
      <c r="AF82" s="67"/>
      <c r="AG82" s="66">
        <v>84950</v>
      </c>
      <c r="AH82" s="153"/>
      <c r="AI82" s="154">
        <f>AI80</f>
        <v>21774</v>
      </c>
      <c r="AJ82" s="205"/>
      <c r="AK82" s="205"/>
      <c r="AL82" s="65"/>
      <c r="AM82" s="65"/>
      <c r="AN82" s="65"/>
      <c r="AO82" s="21">
        <v>4014</v>
      </c>
      <c r="AP82" s="65"/>
      <c r="AQ82" s="65">
        <f>AQ80</f>
        <v>6558</v>
      </c>
      <c r="AR82" s="69"/>
      <c r="AS82" s="235">
        <v>5200</v>
      </c>
      <c r="AT82" s="71"/>
      <c r="AU82" s="71">
        <f>AU80</f>
        <v>22663</v>
      </c>
    </row>
    <row r="83" spans="1:47" s="51" customFormat="1" ht="217.5" thickTop="1">
      <c r="A83" s="80">
        <v>25</v>
      </c>
      <c r="B83" s="143" t="s">
        <v>11</v>
      </c>
      <c r="C83" s="143">
        <v>6</v>
      </c>
      <c r="D83" s="171"/>
      <c r="E83" s="171"/>
      <c r="F83" s="106"/>
      <c r="G83" s="106"/>
      <c r="H83" s="15"/>
      <c r="I83" s="15"/>
      <c r="J83" s="16" t="s">
        <v>790</v>
      </c>
      <c r="K83" s="16" t="s">
        <v>791</v>
      </c>
      <c r="L83" s="15"/>
      <c r="M83" s="15"/>
      <c r="N83" s="15"/>
      <c r="O83" s="15"/>
      <c r="P83" s="16"/>
      <c r="Q83" s="15"/>
      <c r="R83" s="15"/>
      <c r="S83" s="15"/>
      <c r="T83" s="18" t="s">
        <v>503</v>
      </c>
      <c r="U83" s="14">
        <v>6000</v>
      </c>
      <c r="V83" s="16" t="s">
        <v>789</v>
      </c>
      <c r="W83" s="14">
        <f>4743+3961+1101</f>
        <v>9805</v>
      </c>
      <c r="X83" s="15"/>
      <c r="Y83" s="15"/>
      <c r="Z83" s="57"/>
      <c r="AA83" s="57"/>
      <c r="AB83" s="19" t="s">
        <v>203</v>
      </c>
      <c r="AC83" s="14">
        <v>20482</v>
      </c>
      <c r="AD83" s="16" t="s">
        <v>314</v>
      </c>
      <c r="AE83" s="20" t="s">
        <v>990</v>
      </c>
      <c r="AF83" s="24" t="s">
        <v>654</v>
      </c>
      <c r="AG83" s="16" t="s">
        <v>260</v>
      </c>
      <c r="AH83" s="16" t="s">
        <v>377</v>
      </c>
      <c r="AI83" s="20">
        <f>16288+3287+2606+7059+2356+1042</f>
        <v>32638</v>
      </c>
      <c r="AJ83" s="175"/>
      <c r="AK83" s="15"/>
      <c r="AL83" s="57"/>
      <c r="AM83" s="57"/>
      <c r="AN83" s="25" t="s">
        <v>315</v>
      </c>
      <c r="AO83" s="20">
        <v>22800</v>
      </c>
      <c r="AP83" s="16" t="s">
        <v>989</v>
      </c>
      <c r="AQ83" s="16" t="s">
        <v>788</v>
      </c>
      <c r="AR83" s="147"/>
      <c r="AS83" s="236"/>
      <c r="AT83" s="26"/>
      <c r="AU83" s="26"/>
    </row>
    <row r="84" spans="1:47" s="51" customFormat="1" ht="89.25">
      <c r="A84" s="81"/>
      <c r="B84" s="151"/>
      <c r="C84" s="151"/>
      <c r="D84" s="107"/>
      <c r="E84" s="107"/>
      <c r="F84" s="107"/>
      <c r="G84" s="107"/>
      <c r="H84" s="125"/>
      <c r="I84" s="125"/>
      <c r="J84" s="125"/>
      <c r="K84" s="125"/>
      <c r="L84" s="125"/>
      <c r="M84" s="125"/>
      <c r="N84" s="125"/>
      <c r="O84" s="125"/>
      <c r="P84" s="18"/>
      <c r="Q84" s="125"/>
      <c r="R84" s="125"/>
      <c r="S84" s="125"/>
      <c r="T84" s="18" t="s">
        <v>499</v>
      </c>
      <c r="U84" s="127">
        <v>6400</v>
      </c>
      <c r="V84" s="18" t="s">
        <v>991</v>
      </c>
      <c r="W84" s="127">
        <v>147</v>
      </c>
      <c r="X84" s="125"/>
      <c r="Y84" s="125"/>
      <c r="Z84" s="125"/>
      <c r="AA84" s="125"/>
      <c r="AB84" s="25"/>
      <c r="AC84" s="127"/>
      <c r="AD84" s="18"/>
      <c r="AE84" s="127"/>
      <c r="AF84" s="25" t="s">
        <v>259</v>
      </c>
      <c r="AG84" s="18" t="s">
        <v>261</v>
      </c>
      <c r="AH84" s="18"/>
      <c r="AI84" s="127"/>
      <c r="AJ84" s="231"/>
      <c r="AK84" s="125"/>
      <c r="AL84" s="125"/>
      <c r="AM84" s="125"/>
      <c r="AN84" s="25"/>
      <c r="AO84" s="127"/>
      <c r="AP84" s="125"/>
      <c r="AQ84" s="125"/>
      <c r="AR84" s="22"/>
      <c r="AS84" s="22"/>
      <c r="AT84" s="50"/>
      <c r="AU84" s="50"/>
    </row>
    <row r="85" spans="1:47" s="51" customFormat="1" ht="13.5" thickBot="1">
      <c r="A85" s="82"/>
      <c r="B85" s="138" t="s">
        <v>21</v>
      </c>
      <c r="C85" s="139"/>
      <c r="D85" s="161">
        <v>169379.8</v>
      </c>
      <c r="E85" s="161">
        <v>70542.070000000007</v>
      </c>
      <c r="F85" s="64">
        <f>SUM(I85,M85,Q85,U85,Y85,AC85,AG85,AK85,,AS85)</f>
        <v>109033</v>
      </c>
      <c r="G85" s="64">
        <v>135468</v>
      </c>
      <c r="H85" s="205"/>
      <c r="I85" s="205"/>
      <c r="J85" s="205"/>
      <c r="K85" s="205">
        <f>2073+5894+19256</f>
        <v>27223</v>
      </c>
      <c r="L85" s="205"/>
      <c r="M85" s="205"/>
      <c r="N85" s="205"/>
      <c r="O85" s="205"/>
      <c r="P85" s="205"/>
      <c r="Q85" s="205"/>
      <c r="R85" s="205"/>
      <c r="S85" s="205"/>
      <c r="T85" s="205"/>
      <c r="U85" s="206">
        <v>12400</v>
      </c>
      <c r="V85" s="78"/>
      <c r="W85" s="154">
        <f>W83+W84</f>
        <v>9952</v>
      </c>
      <c r="X85" s="78"/>
      <c r="Y85" s="205"/>
      <c r="Z85" s="205"/>
      <c r="AA85" s="205"/>
      <c r="AB85" s="205"/>
      <c r="AC85" s="206">
        <v>20482</v>
      </c>
      <c r="AD85" s="205"/>
      <c r="AE85" s="206">
        <f>5697+8580+5429+6025+10773</f>
        <v>36504</v>
      </c>
      <c r="AF85" s="237"/>
      <c r="AG85" s="206">
        <v>76151</v>
      </c>
      <c r="AH85" s="205"/>
      <c r="AI85" s="206">
        <f>AI83</f>
        <v>32638</v>
      </c>
      <c r="AJ85" s="205"/>
      <c r="AK85" s="205"/>
      <c r="AL85" s="205"/>
      <c r="AM85" s="205"/>
      <c r="AN85" s="238"/>
      <c r="AO85" s="206">
        <v>22800</v>
      </c>
      <c r="AP85" s="205"/>
      <c r="AQ85" s="205">
        <f>28720+433</f>
        <v>29153</v>
      </c>
      <c r="AR85" s="239"/>
      <c r="AS85" s="239"/>
      <c r="AT85" s="240"/>
      <c r="AU85" s="240"/>
    </row>
    <row r="86" spans="1:47" s="51" customFormat="1" ht="141" thickTop="1">
      <c r="A86" s="80">
        <v>26</v>
      </c>
      <c r="B86" s="184" t="s">
        <v>11</v>
      </c>
      <c r="C86" s="184">
        <v>7</v>
      </c>
      <c r="D86" s="108"/>
      <c r="E86" s="108"/>
      <c r="F86" s="110"/>
      <c r="G86" s="110"/>
      <c r="H86" s="15"/>
      <c r="I86" s="15"/>
      <c r="J86" s="16" t="s">
        <v>793</v>
      </c>
      <c r="K86" s="15">
        <v>94804</v>
      </c>
      <c r="L86" s="15"/>
      <c r="M86" s="15"/>
      <c r="N86" s="57"/>
      <c r="O86" s="57"/>
      <c r="P86" s="13"/>
      <c r="Q86" s="15"/>
      <c r="R86" s="15"/>
      <c r="S86" s="15"/>
      <c r="T86" s="18" t="s">
        <v>503</v>
      </c>
      <c r="U86" s="14">
        <v>6000</v>
      </c>
      <c r="V86" s="15"/>
      <c r="W86" s="15"/>
      <c r="X86" s="16"/>
      <c r="Y86" s="15"/>
      <c r="Z86" s="15"/>
      <c r="AA86" s="15"/>
      <c r="AB86" s="198" t="s">
        <v>204</v>
      </c>
      <c r="AC86" s="14">
        <v>13034</v>
      </c>
      <c r="AD86" s="16" t="s">
        <v>307</v>
      </c>
      <c r="AE86" s="14">
        <v>6159</v>
      </c>
      <c r="AF86" s="24" t="s">
        <v>257</v>
      </c>
      <c r="AG86" s="16" t="s">
        <v>258</v>
      </c>
      <c r="AH86" s="16" t="s">
        <v>416</v>
      </c>
      <c r="AI86" s="20" t="s">
        <v>993</v>
      </c>
      <c r="AJ86" s="175"/>
      <c r="AK86" s="15"/>
      <c r="AL86" s="15"/>
      <c r="AM86" s="15"/>
      <c r="AN86" s="24"/>
      <c r="AO86" s="15"/>
      <c r="AP86" s="15"/>
      <c r="AQ86" s="15"/>
      <c r="AR86" s="76" t="s">
        <v>247</v>
      </c>
      <c r="AS86" s="27">
        <v>5200</v>
      </c>
      <c r="AT86" s="234" t="s">
        <v>992</v>
      </c>
      <c r="AU86" s="26">
        <v>45037</v>
      </c>
    </row>
    <row r="87" spans="1:47" s="51" customFormat="1" ht="89.25">
      <c r="A87" s="81"/>
      <c r="B87" s="130"/>
      <c r="C87" s="130"/>
      <c r="D87" s="109"/>
      <c r="E87" s="109"/>
      <c r="F87" s="131"/>
      <c r="G87" s="107"/>
      <c r="H87" s="78"/>
      <c r="I87" s="78"/>
      <c r="J87" s="153"/>
      <c r="K87" s="153"/>
      <c r="L87" s="78"/>
      <c r="M87" s="78"/>
      <c r="N87" s="78"/>
      <c r="O87" s="78"/>
      <c r="P87" s="57"/>
      <c r="Q87" s="78"/>
      <c r="R87" s="78"/>
      <c r="S87" s="78"/>
      <c r="T87" s="18" t="s">
        <v>511</v>
      </c>
      <c r="U87" s="154">
        <v>9600</v>
      </c>
      <c r="V87" s="153" t="s">
        <v>391</v>
      </c>
      <c r="W87" s="153" t="s">
        <v>792</v>
      </c>
      <c r="X87" s="78"/>
      <c r="Y87" s="78"/>
      <c r="Z87" s="78"/>
      <c r="AA87" s="78"/>
      <c r="AB87" s="78"/>
      <c r="AC87" s="78"/>
      <c r="AD87" s="78"/>
      <c r="AE87" s="78"/>
      <c r="AF87" s="136" t="s">
        <v>255</v>
      </c>
      <c r="AG87" s="153" t="s">
        <v>256</v>
      </c>
      <c r="AH87" s="78"/>
      <c r="AI87" s="78"/>
      <c r="AJ87" s="147"/>
      <c r="AK87" s="78"/>
      <c r="AL87" s="78"/>
      <c r="AM87" s="78"/>
      <c r="AN87" s="25"/>
      <c r="AO87" s="78"/>
      <c r="AP87" s="78"/>
      <c r="AQ87" s="78"/>
      <c r="AR87" s="22"/>
      <c r="AS87" s="22"/>
      <c r="AT87" s="50"/>
      <c r="AU87" s="50"/>
    </row>
    <row r="88" spans="1:47" s="51" customFormat="1" ht="13.5" thickBot="1">
      <c r="A88" s="82"/>
      <c r="B88" s="169" t="s">
        <v>21</v>
      </c>
      <c r="C88" s="170"/>
      <c r="D88" s="63">
        <v>116470.39999999999</v>
      </c>
      <c r="E88" s="63">
        <v>-1250.19</v>
      </c>
      <c r="F88" s="64">
        <f>SUM(I88,M88,Q88,U88,Y88,AC88,AG88,AK88,AO88,AS88)</f>
        <v>109588</v>
      </c>
      <c r="G88" s="66">
        <v>172081</v>
      </c>
      <c r="H88" s="65"/>
      <c r="I88" s="65"/>
      <c r="J88" s="65"/>
      <c r="K88" s="65">
        <f>K86+K87</f>
        <v>94804</v>
      </c>
      <c r="L88" s="65"/>
      <c r="M88" s="65"/>
      <c r="N88" s="132"/>
      <c r="O88" s="132"/>
      <c r="P88" s="125"/>
      <c r="Q88" s="65"/>
      <c r="R88" s="65"/>
      <c r="S88" s="65"/>
      <c r="T88" s="65"/>
      <c r="U88" s="66">
        <v>15600</v>
      </c>
      <c r="V88" s="65"/>
      <c r="W88" s="65">
        <f>5998+440</f>
        <v>6438</v>
      </c>
      <c r="X88" s="65"/>
      <c r="Y88" s="65"/>
      <c r="Z88" s="65"/>
      <c r="AA88" s="65"/>
      <c r="AB88" s="65"/>
      <c r="AC88" s="66">
        <v>13034</v>
      </c>
      <c r="AD88" s="65"/>
      <c r="AE88" s="66">
        <v>6159</v>
      </c>
      <c r="AF88" s="67"/>
      <c r="AG88" s="66">
        <v>75754</v>
      </c>
      <c r="AH88" s="65"/>
      <c r="AI88" s="66">
        <f>5251+1181+1013+781+11417</f>
        <v>19643</v>
      </c>
      <c r="AJ88" s="65"/>
      <c r="AK88" s="65"/>
      <c r="AL88" s="65"/>
      <c r="AM88" s="65"/>
      <c r="AN88" s="65"/>
      <c r="AO88" s="65"/>
      <c r="AP88" s="65"/>
      <c r="AQ88" s="65"/>
      <c r="AR88" s="69"/>
      <c r="AS88" s="70">
        <v>5200</v>
      </c>
      <c r="AT88" s="71"/>
      <c r="AU88" s="71">
        <f>AU86</f>
        <v>45037</v>
      </c>
    </row>
    <row r="89" spans="1:47" s="51" customFormat="1" ht="102.75" thickTop="1">
      <c r="A89" s="80">
        <v>27</v>
      </c>
      <c r="B89" s="143" t="s">
        <v>11</v>
      </c>
      <c r="C89" s="143">
        <v>8</v>
      </c>
      <c r="D89" s="171"/>
      <c r="E89" s="171"/>
      <c r="F89" s="106"/>
      <c r="G89" s="106"/>
      <c r="H89" s="13" t="s">
        <v>130</v>
      </c>
      <c r="I89" s="14">
        <v>2600</v>
      </c>
      <c r="J89" s="16"/>
      <c r="K89" s="15"/>
      <c r="L89" s="15"/>
      <c r="M89" s="15"/>
      <c r="N89" s="15"/>
      <c r="O89" s="15"/>
      <c r="P89" s="16"/>
      <c r="Q89" s="15"/>
      <c r="R89" s="15"/>
      <c r="S89" s="15"/>
      <c r="T89" s="18" t="s">
        <v>503</v>
      </c>
      <c r="U89" s="14">
        <v>6000</v>
      </c>
      <c r="V89" s="13"/>
      <c r="W89" s="21">
        <v>1099</v>
      </c>
      <c r="X89" s="13"/>
      <c r="Y89" s="15"/>
      <c r="Z89" s="13"/>
      <c r="AA89" s="21"/>
      <c r="AB89" s="19" t="s">
        <v>205</v>
      </c>
      <c r="AC89" s="14">
        <v>24206</v>
      </c>
      <c r="AD89" s="13" t="s">
        <v>996</v>
      </c>
      <c r="AE89" s="13" t="s">
        <v>995</v>
      </c>
      <c r="AF89" s="24" t="s">
        <v>644</v>
      </c>
      <c r="AG89" s="16" t="s">
        <v>190</v>
      </c>
      <c r="AH89" s="16" t="s">
        <v>504</v>
      </c>
      <c r="AI89" s="20">
        <v>17061</v>
      </c>
      <c r="AJ89" s="15"/>
      <c r="AK89" s="15"/>
      <c r="AL89" s="15"/>
      <c r="AM89" s="15"/>
      <c r="AN89" s="16"/>
      <c r="AO89" s="15"/>
      <c r="AP89" s="16" t="s">
        <v>794</v>
      </c>
      <c r="AQ89" s="14">
        <v>10495</v>
      </c>
      <c r="AR89" s="149"/>
      <c r="AS89" s="149"/>
      <c r="AT89" s="234" t="s">
        <v>997</v>
      </c>
      <c r="AU89" s="26">
        <v>22576</v>
      </c>
    </row>
    <row r="90" spans="1:47" s="51" customFormat="1" ht="89.25">
      <c r="A90" s="81"/>
      <c r="B90" s="184"/>
      <c r="C90" s="184"/>
      <c r="D90" s="108"/>
      <c r="E90" s="108"/>
      <c r="F90" s="110"/>
      <c r="G90" s="131"/>
      <c r="H90" s="13"/>
      <c r="I90" s="125"/>
      <c r="J90" s="125"/>
      <c r="K90" s="125"/>
      <c r="L90" s="125"/>
      <c r="M90" s="125"/>
      <c r="N90" s="57"/>
      <c r="O90" s="57"/>
      <c r="P90" s="13"/>
      <c r="Q90" s="125"/>
      <c r="R90" s="125"/>
      <c r="S90" s="125"/>
      <c r="T90" s="18" t="s">
        <v>499</v>
      </c>
      <c r="U90" s="127">
        <v>6400</v>
      </c>
      <c r="V90" s="57"/>
      <c r="W90" s="57"/>
      <c r="X90" s="57"/>
      <c r="Y90" s="125"/>
      <c r="Z90" s="125"/>
      <c r="AA90" s="125"/>
      <c r="AB90" s="231"/>
      <c r="AC90" s="125"/>
      <c r="AD90" s="125"/>
      <c r="AE90" s="125"/>
      <c r="AF90" s="25" t="s">
        <v>262</v>
      </c>
      <c r="AG90" s="18" t="s">
        <v>263</v>
      </c>
      <c r="AH90" s="125"/>
      <c r="AI90" s="127"/>
      <c r="AJ90" s="125"/>
      <c r="AK90" s="125"/>
      <c r="AL90" s="57"/>
      <c r="AM90" s="57"/>
      <c r="AN90" s="233"/>
      <c r="AO90" s="214"/>
      <c r="AP90" s="18" t="s">
        <v>994</v>
      </c>
      <c r="AQ90" s="18">
        <v>2055</v>
      </c>
      <c r="AR90" s="22"/>
      <c r="AS90" s="22"/>
      <c r="AT90" s="50"/>
      <c r="AU90" s="50"/>
    </row>
    <row r="91" spans="1:47" s="51" customFormat="1" ht="13.5" thickBot="1">
      <c r="A91" s="82"/>
      <c r="B91" s="138" t="s">
        <v>21</v>
      </c>
      <c r="C91" s="139"/>
      <c r="D91" s="161">
        <v>178600.6</v>
      </c>
      <c r="E91" s="161">
        <v>-34632.230000000003</v>
      </c>
      <c r="F91" s="64">
        <f>SUM(I91,M91,Q91,U91,Y91,AC91,AG91,AK91,AO91,AS91)</f>
        <v>96186</v>
      </c>
      <c r="G91" s="64">
        <v>87996</v>
      </c>
      <c r="H91" s="65"/>
      <c r="I91" s="66">
        <v>2600</v>
      </c>
      <c r="J91" s="65"/>
      <c r="K91" s="65"/>
      <c r="L91" s="65"/>
      <c r="M91" s="65"/>
      <c r="N91" s="72"/>
      <c r="O91" s="65"/>
      <c r="Q91" s="65"/>
      <c r="R91" s="65"/>
      <c r="S91" s="65"/>
      <c r="T91" s="65"/>
      <c r="U91" s="66">
        <v>12400</v>
      </c>
      <c r="V91" s="65"/>
      <c r="W91" s="66">
        <f>W89</f>
        <v>1099</v>
      </c>
      <c r="X91" s="65"/>
      <c r="Y91" s="65"/>
      <c r="Z91" s="65"/>
      <c r="AA91" s="66"/>
      <c r="AB91" s="65"/>
      <c r="AC91" s="66">
        <v>24206</v>
      </c>
      <c r="AD91" s="65"/>
      <c r="AE91" s="65">
        <f>2799+2952+21049+7910</f>
        <v>34710</v>
      </c>
      <c r="AF91" s="67"/>
      <c r="AG91" s="66">
        <v>56980</v>
      </c>
      <c r="AH91" s="65"/>
      <c r="AI91" s="66">
        <f>17061</f>
        <v>17061</v>
      </c>
      <c r="AJ91" s="65"/>
      <c r="AK91" s="65"/>
      <c r="AL91" s="65"/>
      <c r="AM91" s="65"/>
      <c r="AN91" s="68"/>
      <c r="AO91" s="65"/>
      <c r="AP91" s="65"/>
      <c r="AQ91" s="66">
        <f>AQ89+AQ90</f>
        <v>12550</v>
      </c>
      <c r="AR91" s="69"/>
      <c r="AS91" s="69"/>
      <c r="AT91" s="71"/>
      <c r="AU91" s="71">
        <f>AU89</f>
        <v>22576</v>
      </c>
    </row>
    <row r="92" spans="1:47" s="51" customFormat="1" ht="153.75" thickTop="1">
      <c r="A92" s="80">
        <v>28</v>
      </c>
      <c r="B92" s="184" t="s">
        <v>11</v>
      </c>
      <c r="C92" s="184">
        <v>10</v>
      </c>
      <c r="D92" s="108"/>
      <c r="E92" s="108"/>
      <c r="F92" s="106"/>
      <c r="G92" s="106"/>
      <c r="H92" s="16" t="s">
        <v>131</v>
      </c>
      <c r="I92" s="14">
        <v>1300</v>
      </c>
      <c r="J92" s="16" t="s">
        <v>977</v>
      </c>
      <c r="K92" s="20" t="s">
        <v>978</v>
      </c>
      <c r="L92" s="15"/>
      <c r="M92" s="15"/>
      <c r="N92" s="15"/>
      <c r="O92" s="15"/>
      <c r="P92" s="16"/>
      <c r="Q92" s="15"/>
      <c r="R92" s="16" t="s">
        <v>797</v>
      </c>
      <c r="S92" s="15">
        <v>17975</v>
      </c>
      <c r="T92" s="18" t="s">
        <v>503</v>
      </c>
      <c r="U92" s="14">
        <v>6000</v>
      </c>
      <c r="V92" s="13" t="s">
        <v>980</v>
      </c>
      <c r="W92" s="62" t="s">
        <v>981</v>
      </c>
      <c r="X92" s="16" t="s">
        <v>544</v>
      </c>
      <c r="Y92" s="21">
        <v>11500</v>
      </c>
      <c r="Z92" s="13"/>
      <c r="AA92" s="21"/>
      <c r="AB92" s="19"/>
      <c r="AC92" s="15"/>
      <c r="AD92" s="16" t="s">
        <v>975</v>
      </c>
      <c r="AE92" s="14">
        <v>5271</v>
      </c>
      <c r="AF92" s="24" t="s">
        <v>647</v>
      </c>
      <c r="AG92" s="16" t="s">
        <v>206</v>
      </c>
      <c r="AH92" s="16" t="s">
        <v>969</v>
      </c>
      <c r="AI92" s="16" t="s">
        <v>796</v>
      </c>
      <c r="AJ92" s="15"/>
      <c r="AK92" s="15"/>
      <c r="AL92" s="57"/>
      <c r="AM92" s="57"/>
      <c r="AN92" s="25"/>
      <c r="AO92" s="15"/>
      <c r="AP92" s="16" t="s">
        <v>972</v>
      </c>
      <c r="AQ92" s="16" t="s">
        <v>971</v>
      </c>
      <c r="AR92" s="76" t="s">
        <v>245</v>
      </c>
      <c r="AS92" s="27">
        <v>5200</v>
      </c>
      <c r="AT92" s="26"/>
      <c r="AU92" s="26"/>
    </row>
    <row r="93" spans="1:47" s="51" customFormat="1" ht="216.75">
      <c r="A93" s="81"/>
      <c r="B93" s="130"/>
      <c r="C93" s="130"/>
      <c r="D93" s="109"/>
      <c r="E93" s="109"/>
      <c r="F93" s="110"/>
      <c r="G93" s="107"/>
      <c r="H93" s="57"/>
      <c r="I93" s="57"/>
      <c r="J93" s="13" t="s">
        <v>979</v>
      </c>
      <c r="K93" s="13">
        <v>5880</v>
      </c>
      <c r="L93" s="57"/>
      <c r="M93" s="57"/>
      <c r="N93" s="57"/>
      <c r="O93" s="57"/>
      <c r="P93" s="13"/>
      <c r="Q93" s="78"/>
      <c r="R93" s="78"/>
      <c r="S93" s="78"/>
      <c r="T93" s="18" t="s">
        <v>499</v>
      </c>
      <c r="U93" s="21">
        <v>6400</v>
      </c>
      <c r="V93" s="23" t="s">
        <v>970</v>
      </c>
      <c r="W93" s="18" t="s">
        <v>795</v>
      </c>
      <c r="X93" s="50"/>
      <c r="Y93" s="50"/>
      <c r="Z93" s="50"/>
      <c r="AB93" s="57"/>
      <c r="AC93" s="57"/>
      <c r="AD93" s="13" t="s">
        <v>976</v>
      </c>
      <c r="AE93" s="13">
        <v>2770</v>
      </c>
      <c r="AF93" s="25"/>
      <c r="AG93" s="57"/>
      <c r="AH93" s="57"/>
      <c r="AI93" s="57"/>
      <c r="AJ93" s="57"/>
      <c r="AK93" s="57"/>
      <c r="AL93" s="57"/>
      <c r="AM93" s="57"/>
      <c r="AN93" s="13"/>
      <c r="AO93" s="57"/>
      <c r="AP93" s="13" t="s">
        <v>974</v>
      </c>
      <c r="AQ93" s="13" t="s">
        <v>973</v>
      </c>
      <c r="AR93" s="22"/>
      <c r="AS93" s="22"/>
      <c r="AT93" s="50"/>
      <c r="AU93" s="50"/>
    </row>
    <row r="94" spans="1:47" s="51" customFormat="1" ht="13.5" thickBot="1">
      <c r="A94" s="82"/>
      <c r="B94" s="169" t="s">
        <v>21</v>
      </c>
      <c r="C94" s="170"/>
      <c r="D94" s="63">
        <v>170886.7</v>
      </c>
      <c r="E94" s="63">
        <v>-82343.149999999994</v>
      </c>
      <c r="F94" s="64">
        <f>SUM(I94,M94,Q94,U94,Y94,AC94,AG94,AK94,AO94,AS94)</f>
        <v>58816</v>
      </c>
      <c r="G94" s="64">
        <v>164308</v>
      </c>
      <c r="H94" s="65"/>
      <c r="I94" s="66">
        <v>1300</v>
      </c>
      <c r="J94" s="65"/>
      <c r="K94" s="66">
        <f>3863+4215+5880</f>
        <v>13958</v>
      </c>
      <c r="L94" s="65"/>
      <c r="M94" s="65"/>
      <c r="N94" s="65"/>
      <c r="O94" s="65"/>
      <c r="P94" s="65"/>
      <c r="Q94" s="65"/>
      <c r="R94" s="65"/>
      <c r="S94" s="65">
        <f>S92</f>
        <v>17975</v>
      </c>
      <c r="T94" s="65"/>
      <c r="U94" s="66">
        <v>12400</v>
      </c>
      <c r="V94" s="65"/>
      <c r="W94" s="66">
        <f>6668+219+2135+369</f>
        <v>9391</v>
      </c>
      <c r="X94" s="65"/>
      <c r="Y94" s="66">
        <v>11500</v>
      </c>
      <c r="Z94" s="65"/>
      <c r="AA94" s="66"/>
      <c r="AB94" s="65"/>
      <c r="AC94" s="65"/>
      <c r="AD94" s="65"/>
      <c r="AE94" s="66">
        <f>AE92+AE93</f>
        <v>8041</v>
      </c>
      <c r="AF94" s="67"/>
      <c r="AG94" s="66">
        <v>28416</v>
      </c>
      <c r="AH94" s="65"/>
      <c r="AI94" s="65">
        <f>5117+2278+28822+13456</f>
        <v>49673</v>
      </c>
      <c r="AJ94" s="65"/>
      <c r="AK94" s="65"/>
      <c r="AL94" s="65"/>
      <c r="AM94" s="65"/>
      <c r="AN94" s="68"/>
      <c r="AO94" s="65"/>
      <c r="AP94" s="65"/>
      <c r="AQ94" s="65">
        <f>1090+10364+18386+10364+25066</f>
        <v>65270</v>
      </c>
      <c r="AR94" s="69"/>
      <c r="AS94" s="70">
        <v>5200</v>
      </c>
      <c r="AT94" s="71"/>
      <c r="AU94" s="71"/>
    </row>
    <row r="95" spans="1:47" s="51" customFormat="1" ht="64.5" thickTop="1">
      <c r="A95" s="80">
        <v>29</v>
      </c>
      <c r="B95" s="143" t="s">
        <v>12</v>
      </c>
      <c r="C95" s="143">
        <v>1</v>
      </c>
      <c r="D95" s="171"/>
      <c r="E95" s="171"/>
      <c r="F95" s="106"/>
      <c r="G95" s="106"/>
      <c r="H95" s="15"/>
      <c r="I95" s="15"/>
      <c r="J95" s="16" t="s">
        <v>800</v>
      </c>
      <c r="K95" s="15">
        <v>36557</v>
      </c>
      <c r="L95" s="15"/>
      <c r="M95" s="15"/>
      <c r="N95" s="15"/>
      <c r="O95" s="15"/>
      <c r="P95" s="15"/>
      <c r="Q95" s="15"/>
      <c r="R95" s="16"/>
      <c r="S95" s="14"/>
      <c r="T95" s="18" t="s">
        <v>505</v>
      </c>
      <c r="U95" s="14">
        <v>2500</v>
      </c>
      <c r="V95" s="16" t="s">
        <v>799</v>
      </c>
      <c r="W95" s="16" t="s">
        <v>798</v>
      </c>
      <c r="X95" s="16"/>
      <c r="Y95" s="15"/>
      <c r="Z95" s="57"/>
      <c r="AA95" s="57"/>
      <c r="AB95" s="19" t="s">
        <v>174</v>
      </c>
      <c r="AC95" s="14">
        <v>8379</v>
      </c>
      <c r="AD95" s="15"/>
      <c r="AE95" s="15"/>
      <c r="AF95" s="24" t="s">
        <v>624</v>
      </c>
      <c r="AG95" s="16" t="s">
        <v>266</v>
      </c>
      <c r="AH95" s="16" t="s">
        <v>351</v>
      </c>
      <c r="AI95" s="16">
        <v>12985</v>
      </c>
      <c r="AJ95" s="15"/>
      <c r="AK95" s="15"/>
      <c r="AL95" s="57"/>
      <c r="AM95" s="57"/>
      <c r="AN95" s="25"/>
      <c r="AO95" s="15"/>
      <c r="AP95" s="15" t="s">
        <v>794</v>
      </c>
      <c r="AQ95" s="15">
        <v>3708</v>
      </c>
      <c r="AR95" s="149"/>
      <c r="AS95" s="149"/>
      <c r="AT95" s="26"/>
      <c r="AU95" s="26"/>
    </row>
    <row r="96" spans="1:47" s="51" customFormat="1" ht="89.25">
      <c r="A96" s="81"/>
      <c r="B96" s="130"/>
      <c r="C96" s="130"/>
      <c r="D96" s="109"/>
      <c r="E96" s="109"/>
      <c r="F96" s="131"/>
      <c r="G96" s="107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18" t="s">
        <v>494</v>
      </c>
      <c r="U96" s="78">
        <v>3200</v>
      </c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136" t="s">
        <v>264</v>
      </c>
      <c r="AG96" s="153" t="s">
        <v>265</v>
      </c>
      <c r="AH96" s="153"/>
      <c r="AI96" s="78"/>
      <c r="AJ96" s="78"/>
      <c r="AK96" s="78"/>
      <c r="AL96" s="78"/>
      <c r="AM96" s="78"/>
      <c r="AN96" s="78"/>
      <c r="AO96" s="78"/>
      <c r="AP96" s="78"/>
      <c r="AQ96" s="78"/>
      <c r="AR96" s="22"/>
      <c r="AS96" s="22"/>
      <c r="AT96" s="50"/>
      <c r="AU96" s="50"/>
    </row>
    <row r="97" spans="1:47" s="51" customFormat="1" ht="13.5" thickBot="1">
      <c r="A97" s="82"/>
      <c r="B97" s="169" t="s">
        <v>21</v>
      </c>
      <c r="C97" s="170"/>
      <c r="D97" s="63">
        <v>35321.919999999998</v>
      </c>
      <c r="E97" s="63">
        <v>9416.1200000000008</v>
      </c>
      <c r="F97" s="64">
        <f>SUM(I97,M97,Q97,U97,Y97,AC97,AG97,AK97,AO97,AS97)</f>
        <v>67593</v>
      </c>
      <c r="G97" s="64">
        <v>62790</v>
      </c>
      <c r="H97" s="65"/>
      <c r="I97" s="65"/>
      <c r="J97" s="65"/>
      <c r="K97" s="65">
        <f>K95</f>
        <v>36557</v>
      </c>
      <c r="L97" s="65"/>
      <c r="M97" s="65"/>
      <c r="N97" s="65"/>
      <c r="O97" s="65"/>
      <c r="P97" s="65"/>
      <c r="Q97" s="65"/>
      <c r="R97" s="65"/>
      <c r="S97" s="66"/>
      <c r="T97" s="65"/>
      <c r="U97" s="66">
        <v>5700</v>
      </c>
      <c r="V97" s="65"/>
      <c r="W97" s="65">
        <f>9320+220</f>
        <v>9540</v>
      </c>
      <c r="X97" s="65"/>
      <c r="Y97" s="65"/>
      <c r="Z97" s="65"/>
      <c r="AA97" s="65"/>
      <c r="AB97" s="65"/>
      <c r="AC97" s="66">
        <v>8379</v>
      </c>
      <c r="AD97" s="65"/>
      <c r="AE97" s="65"/>
      <c r="AF97" s="67"/>
      <c r="AG97" s="66">
        <v>53514</v>
      </c>
      <c r="AH97" s="65"/>
      <c r="AI97" s="65">
        <f>AI95</f>
        <v>12985</v>
      </c>
      <c r="AJ97" s="65"/>
      <c r="AK97" s="65"/>
      <c r="AL97" s="65"/>
      <c r="AM97" s="65"/>
      <c r="AN97" s="65"/>
      <c r="AO97" s="65"/>
      <c r="AP97" s="65"/>
      <c r="AQ97" s="65">
        <f>AQ95</f>
        <v>3708</v>
      </c>
      <c r="AR97" s="69"/>
      <c r="AS97" s="69"/>
      <c r="AT97" s="71"/>
      <c r="AU97" s="71"/>
    </row>
    <row r="98" spans="1:47" s="51" customFormat="1" ht="65.25" thickTop="1" thickBot="1">
      <c r="A98" s="80">
        <v>30</v>
      </c>
      <c r="B98" s="143" t="s">
        <v>12</v>
      </c>
      <c r="C98" s="143">
        <v>2</v>
      </c>
      <c r="D98" s="171"/>
      <c r="E98" s="171"/>
      <c r="F98" s="106"/>
      <c r="G98" s="106"/>
      <c r="H98" s="15"/>
      <c r="I98" s="15"/>
      <c r="J98" s="16"/>
      <c r="K98" s="14"/>
      <c r="L98" s="15"/>
      <c r="M98" s="15"/>
      <c r="N98" s="57"/>
      <c r="O98" s="57"/>
      <c r="P98" s="13"/>
      <c r="Q98" s="15"/>
      <c r="R98" s="20" t="s">
        <v>801</v>
      </c>
      <c r="S98" s="20">
        <v>4124</v>
      </c>
      <c r="T98" s="18" t="s">
        <v>505</v>
      </c>
      <c r="U98" s="14">
        <v>2500</v>
      </c>
      <c r="V98" s="15"/>
      <c r="W98" s="15"/>
      <c r="X98" s="18" t="s">
        <v>506</v>
      </c>
      <c r="Y98" s="14">
        <v>20000</v>
      </c>
      <c r="Z98" s="13" t="s">
        <v>359</v>
      </c>
      <c r="AA98" s="57">
        <v>69487</v>
      </c>
      <c r="AB98" s="19" t="s">
        <v>58</v>
      </c>
      <c r="AC98" s="14">
        <v>14896</v>
      </c>
      <c r="AD98" s="15" t="s">
        <v>478</v>
      </c>
      <c r="AE98" s="15">
        <v>6614</v>
      </c>
      <c r="AF98" s="24" t="s">
        <v>270</v>
      </c>
      <c r="AG98" s="16" t="s">
        <v>269</v>
      </c>
      <c r="AH98" s="241" t="s">
        <v>479</v>
      </c>
      <c r="AI98" s="242" t="s">
        <v>481</v>
      </c>
      <c r="AJ98" s="175"/>
      <c r="AK98" s="15"/>
      <c r="AL98" s="57"/>
      <c r="AM98" s="57"/>
      <c r="AN98" s="25"/>
      <c r="AO98" s="15"/>
      <c r="AP98" s="15"/>
      <c r="AQ98" s="15"/>
      <c r="AR98" s="149"/>
      <c r="AS98" s="149"/>
      <c r="AT98" s="26"/>
      <c r="AU98" s="26"/>
    </row>
    <row r="99" spans="1:47" s="51" customFormat="1" ht="90" thickTop="1">
      <c r="A99" s="81"/>
      <c r="B99" s="143"/>
      <c r="C99" s="130"/>
      <c r="D99" s="109"/>
      <c r="E99" s="109"/>
      <c r="F99" s="131"/>
      <c r="G99" s="107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18" t="s">
        <v>499</v>
      </c>
      <c r="U99" s="154">
        <v>6400</v>
      </c>
      <c r="V99" s="78"/>
      <c r="W99" s="78"/>
      <c r="X99" s="153"/>
      <c r="Y99" s="78"/>
      <c r="Z99" s="78"/>
      <c r="AA99" s="78"/>
      <c r="AB99" s="78"/>
      <c r="AC99" s="78"/>
      <c r="AD99" s="153" t="s">
        <v>480</v>
      </c>
      <c r="AE99" s="78">
        <v>10057</v>
      </c>
      <c r="AF99" s="25" t="s">
        <v>267</v>
      </c>
      <c r="AG99" s="153" t="s">
        <v>268</v>
      </c>
      <c r="AH99" s="243"/>
      <c r="AI99" s="107"/>
      <c r="AJ99" s="78"/>
      <c r="AK99" s="78"/>
      <c r="AL99" s="78"/>
      <c r="AM99" s="78"/>
      <c r="AN99" s="78"/>
      <c r="AO99" s="78"/>
      <c r="AP99" s="78"/>
      <c r="AQ99" s="78"/>
      <c r="AR99" s="22"/>
      <c r="AS99" s="22"/>
      <c r="AT99" s="50"/>
      <c r="AU99" s="50"/>
    </row>
    <row r="100" spans="1:47" s="51" customFormat="1" ht="13.5" thickBot="1">
      <c r="A100" s="82"/>
      <c r="B100" s="169" t="s">
        <v>21</v>
      </c>
      <c r="C100" s="170"/>
      <c r="D100" s="63">
        <v>66406.080000000002</v>
      </c>
      <c r="E100" s="63">
        <v>10585.69</v>
      </c>
      <c r="F100" s="64">
        <f>SUM(I100,M100,Q100,U100,Y100,AC100,AG100,AK100,AO100,AS100)</f>
        <v>85439</v>
      </c>
      <c r="G100" s="64">
        <v>118058</v>
      </c>
      <c r="H100" s="65"/>
      <c r="I100" s="65"/>
      <c r="J100" s="65"/>
      <c r="K100" s="66"/>
      <c r="L100" s="65"/>
      <c r="M100" s="65"/>
      <c r="N100" s="65"/>
      <c r="O100" s="65"/>
      <c r="P100" s="65"/>
      <c r="Q100" s="65"/>
      <c r="R100" s="65"/>
      <c r="S100" s="66">
        <f>S98</f>
        <v>4124</v>
      </c>
      <c r="T100" s="65"/>
      <c r="U100" s="66">
        <v>8900</v>
      </c>
      <c r="V100" s="65"/>
      <c r="W100" s="65"/>
      <c r="X100" s="65"/>
      <c r="Y100" s="66">
        <v>20000</v>
      </c>
      <c r="Z100" s="65"/>
      <c r="AA100" s="65">
        <v>69487</v>
      </c>
      <c r="AB100" s="65"/>
      <c r="AC100" s="66">
        <v>14896</v>
      </c>
      <c r="AD100" s="65"/>
      <c r="AE100" s="65">
        <f>AE98+AE99</f>
        <v>16671</v>
      </c>
      <c r="AF100" s="67"/>
      <c r="AG100" s="66">
        <v>41643</v>
      </c>
      <c r="AH100" s="65"/>
      <c r="AI100" s="66">
        <f>540+884+22381+3971</f>
        <v>27776</v>
      </c>
      <c r="AJ100" s="65"/>
      <c r="AK100" s="65"/>
      <c r="AL100" s="65"/>
      <c r="AM100" s="65"/>
      <c r="AN100" s="65"/>
      <c r="AO100" s="65"/>
      <c r="AP100" s="65"/>
      <c r="AQ100" s="65"/>
      <c r="AR100" s="69"/>
      <c r="AS100" s="69"/>
      <c r="AT100" s="71"/>
      <c r="AU100" s="71"/>
    </row>
    <row r="101" spans="1:47" s="51" customFormat="1" ht="64.5" thickTop="1">
      <c r="A101" s="80">
        <v>31</v>
      </c>
      <c r="B101" s="142" t="s">
        <v>12</v>
      </c>
      <c r="C101" s="143">
        <v>3</v>
      </c>
      <c r="D101" s="163"/>
      <c r="E101" s="163"/>
      <c r="F101" s="145"/>
      <c r="G101" s="145"/>
      <c r="H101" s="244"/>
      <c r="I101" s="15"/>
      <c r="J101" s="16" t="s">
        <v>803</v>
      </c>
      <c r="K101" s="16" t="s">
        <v>802</v>
      </c>
      <c r="L101" s="15"/>
      <c r="M101" s="15"/>
      <c r="N101" s="15"/>
      <c r="O101" s="15"/>
      <c r="P101" s="15"/>
      <c r="Q101" s="15"/>
      <c r="R101" s="15"/>
      <c r="S101" s="15"/>
      <c r="T101" s="18" t="s">
        <v>505</v>
      </c>
      <c r="U101" s="245">
        <v>2500</v>
      </c>
      <c r="V101" s="246" t="s">
        <v>486</v>
      </c>
      <c r="W101" s="246">
        <v>147</v>
      </c>
      <c r="X101" s="16"/>
      <c r="Y101" s="15"/>
      <c r="Z101" s="15"/>
      <c r="AA101" s="15"/>
      <c r="AB101" s="198" t="s">
        <v>41</v>
      </c>
      <c r="AC101" s="14">
        <v>11172</v>
      </c>
      <c r="AD101" s="16"/>
      <c r="AE101" s="14"/>
      <c r="AF101" s="24" t="s">
        <v>636</v>
      </c>
      <c r="AG101" s="16" t="s">
        <v>273</v>
      </c>
      <c r="AH101" s="16" t="s">
        <v>355</v>
      </c>
      <c r="AI101" s="16">
        <v>1271</v>
      </c>
      <c r="AJ101" s="175" t="s">
        <v>31</v>
      </c>
      <c r="AK101" s="15"/>
      <c r="AL101" s="15"/>
      <c r="AM101" s="15"/>
      <c r="AN101" s="24"/>
      <c r="AO101" s="15"/>
      <c r="AP101" s="16" t="s">
        <v>457</v>
      </c>
      <c r="AQ101" s="16" t="s">
        <v>805</v>
      </c>
      <c r="AR101" s="149"/>
      <c r="AS101" s="149"/>
      <c r="AT101" s="26"/>
      <c r="AU101" s="26"/>
    </row>
    <row r="102" spans="1:47" s="51" customFormat="1" ht="89.25">
      <c r="A102" s="81"/>
      <c r="B102" s="150"/>
      <c r="C102" s="151"/>
      <c r="D102" s="152"/>
      <c r="E102" s="152"/>
      <c r="F102" s="152"/>
      <c r="G102" s="152"/>
      <c r="H102" s="247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18" t="s">
        <v>494</v>
      </c>
      <c r="U102" s="248">
        <v>3200</v>
      </c>
      <c r="V102" s="249" t="s">
        <v>804</v>
      </c>
      <c r="W102" s="249">
        <v>7281</v>
      </c>
      <c r="X102" s="153"/>
      <c r="Y102" s="78"/>
      <c r="Z102" s="78"/>
      <c r="AA102" s="78"/>
      <c r="AB102" s="250"/>
      <c r="AC102" s="154"/>
      <c r="AD102" s="153"/>
      <c r="AE102" s="154"/>
      <c r="AF102" s="136" t="s">
        <v>271</v>
      </c>
      <c r="AG102" s="153" t="s">
        <v>272</v>
      </c>
      <c r="AH102" s="153" t="s">
        <v>378</v>
      </c>
      <c r="AI102" s="153">
        <v>3797</v>
      </c>
      <c r="AJ102" s="155"/>
      <c r="AK102" s="78"/>
      <c r="AL102" s="78"/>
      <c r="AM102" s="78"/>
      <c r="AN102" s="136"/>
      <c r="AO102" s="78"/>
      <c r="AP102" s="78"/>
      <c r="AQ102" s="78"/>
      <c r="AR102" s="158"/>
      <c r="AS102" s="158"/>
      <c r="AT102" s="159"/>
      <c r="AU102" s="159"/>
    </row>
    <row r="103" spans="1:47" s="51" customFormat="1" ht="13.5" thickBot="1">
      <c r="A103" s="82"/>
      <c r="B103" s="169" t="s">
        <v>21</v>
      </c>
      <c r="C103" s="170"/>
      <c r="D103" s="63">
        <v>35871.360000000001</v>
      </c>
      <c r="E103" s="63">
        <v>26632.85</v>
      </c>
      <c r="F103" s="251">
        <f>SUM(I103,M103,Q103,U103,Y103,AC103,AG103,AK103,AO103,AS103)</f>
        <v>70920</v>
      </c>
      <c r="G103" s="64">
        <v>25317</v>
      </c>
      <c r="H103" s="65"/>
      <c r="I103" s="65"/>
      <c r="J103" s="65"/>
      <c r="K103" s="65">
        <f>831+1774</f>
        <v>2605</v>
      </c>
      <c r="L103" s="65"/>
      <c r="M103" s="65"/>
      <c r="N103" s="65"/>
      <c r="O103" s="65"/>
      <c r="P103" s="65"/>
      <c r="Q103" s="65"/>
      <c r="R103" s="65"/>
      <c r="S103" s="65"/>
      <c r="T103" s="65"/>
      <c r="U103" s="252">
        <v>5700</v>
      </c>
      <c r="V103" s="252"/>
      <c r="W103" s="252">
        <f>7281+147</f>
        <v>7428</v>
      </c>
      <c r="X103" s="65"/>
      <c r="Y103" s="65"/>
      <c r="Z103" s="65"/>
      <c r="AA103" s="65"/>
      <c r="AB103" s="65"/>
      <c r="AC103" s="66">
        <v>11172</v>
      </c>
      <c r="AD103" s="65"/>
      <c r="AE103" s="66"/>
      <c r="AF103" s="67"/>
      <c r="AG103" s="66">
        <v>54048</v>
      </c>
      <c r="AH103" s="65"/>
      <c r="AI103" s="65">
        <f>AI101+AI102</f>
        <v>5068</v>
      </c>
      <c r="AJ103" s="65"/>
      <c r="AK103" s="65"/>
      <c r="AL103" s="65"/>
      <c r="AM103" s="65"/>
      <c r="AN103" s="65"/>
      <c r="AO103" s="65"/>
      <c r="AP103" s="65"/>
      <c r="AQ103" s="65">
        <f>5108+5108</f>
        <v>10216</v>
      </c>
      <c r="AR103" s="69"/>
      <c r="AS103" s="69"/>
      <c r="AT103" s="71"/>
      <c r="AU103" s="71"/>
    </row>
    <row r="104" spans="1:47" s="51" customFormat="1" ht="64.5" thickTop="1">
      <c r="A104" s="80">
        <v>32</v>
      </c>
      <c r="B104" s="143" t="s">
        <v>12</v>
      </c>
      <c r="C104" s="143">
        <v>4</v>
      </c>
      <c r="D104" s="171"/>
      <c r="E104" s="171"/>
      <c r="F104" s="106"/>
      <c r="G104" s="106"/>
      <c r="H104" s="15"/>
      <c r="I104" s="15"/>
      <c r="J104" s="16"/>
      <c r="K104" s="14"/>
      <c r="L104" s="15"/>
      <c r="M104" s="15"/>
      <c r="N104" s="15"/>
      <c r="O104" s="15"/>
      <c r="P104" s="15"/>
      <c r="Q104" s="15"/>
      <c r="R104" s="15"/>
      <c r="S104" s="15"/>
      <c r="T104" s="18" t="s">
        <v>507</v>
      </c>
      <c r="U104" s="14">
        <v>2000</v>
      </c>
      <c r="V104" s="15"/>
      <c r="W104" s="15"/>
      <c r="X104" s="16"/>
      <c r="Y104" s="15"/>
      <c r="Z104" s="15"/>
      <c r="AA104" s="15"/>
      <c r="AB104" s="15"/>
      <c r="AC104" s="15"/>
      <c r="AD104" s="15"/>
      <c r="AE104" s="15"/>
      <c r="AF104" s="198"/>
      <c r="AG104" s="15"/>
      <c r="AH104" s="16" t="s">
        <v>968</v>
      </c>
      <c r="AI104" s="20">
        <v>10709</v>
      </c>
      <c r="AJ104" s="15"/>
      <c r="AK104" s="15"/>
      <c r="AL104" s="15"/>
      <c r="AM104" s="15"/>
      <c r="AN104" s="24"/>
      <c r="AO104" s="15"/>
      <c r="AP104" s="15"/>
      <c r="AQ104" s="15"/>
      <c r="AR104" s="149"/>
      <c r="AS104" s="149"/>
      <c r="AT104" s="26"/>
      <c r="AU104" s="26"/>
    </row>
    <row r="105" spans="1:47" s="51" customFormat="1" ht="89.25">
      <c r="A105" s="81"/>
      <c r="B105" s="165"/>
      <c r="C105" s="165"/>
      <c r="D105" s="185"/>
      <c r="E105" s="185"/>
      <c r="F105" s="185"/>
      <c r="G105" s="185"/>
      <c r="H105" s="125"/>
      <c r="I105" s="125"/>
      <c r="J105" s="18"/>
      <c r="K105" s="127"/>
      <c r="L105" s="125"/>
      <c r="M105" s="125"/>
      <c r="N105" s="125"/>
      <c r="O105" s="125"/>
      <c r="P105" s="125"/>
      <c r="Q105" s="125"/>
      <c r="R105" s="125"/>
      <c r="S105" s="125"/>
      <c r="T105" s="18" t="s">
        <v>494</v>
      </c>
      <c r="U105" s="127">
        <v>3200</v>
      </c>
      <c r="V105" s="125"/>
      <c r="W105" s="125"/>
      <c r="X105" s="18"/>
      <c r="Y105" s="125"/>
      <c r="Z105" s="125"/>
      <c r="AA105" s="125"/>
      <c r="AB105" s="125"/>
      <c r="AC105" s="125"/>
      <c r="AD105" s="125"/>
      <c r="AE105" s="125"/>
      <c r="AF105" s="253"/>
      <c r="AG105" s="125"/>
      <c r="AH105" s="18"/>
      <c r="AI105" s="217"/>
      <c r="AJ105" s="125"/>
      <c r="AK105" s="125"/>
      <c r="AL105" s="125"/>
      <c r="AM105" s="125"/>
      <c r="AN105" s="25"/>
      <c r="AO105" s="125"/>
      <c r="AP105" s="125"/>
      <c r="AQ105" s="125"/>
      <c r="AR105" s="22"/>
      <c r="AS105" s="22"/>
      <c r="AT105" s="50"/>
      <c r="AU105" s="50"/>
    </row>
    <row r="106" spans="1:47" s="51" customFormat="1" ht="127.5">
      <c r="A106" s="81"/>
      <c r="B106" s="151"/>
      <c r="C106" s="151"/>
      <c r="D106" s="107"/>
      <c r="E106" s="107"/>
      <c r="F106" s="107"/>
      <c r="G106" s="107"/>
      <c r="H106" s="78"/>
      <c r="I106" s="78"/>
      <c r="J106" s="153"/>
      <c r="K106" s="154"/>
      <c r="L106" s="78"/>
      <c r="M106" s="78"/>
      <c r="N106" s="78"/>
      <c r="O106" s="78"/>
      <c r="P106" s="78"/>
      <c r="Q106" s="78"/>
      <c r="R106" s="78"/>
      <c r="S106" s="78"/>
      <c r="T106" s="18" t="s">
        <v>596</v>
      </c>
      <c r="U106" s="154">
        <v>6500</v>
      </c>
      <c r="V106" s="78"/>
      <c r="W106" s="78"/>
      <c r="X106" s="153"/>
      <c r="Y106" s="78"/>
      <c r="Z106" s="78"/>
      <c r="AA106" s="78"/>
      <c r="AB106" s="78"/>
      <c r="AC106" s="78"/>
      <c r="AD106" s="78"/>
      <c r="AE106" s="78"/>
      <c r="AF106" s="250"/>
      <c r="AG106" s="78"/>
      <c r="AH106" s="153"/>
      <c r="AI106" s="201"/>
      <c r="AJ106" s="78"/>
      <c r="AK106" s="78"/>
      <c r="AL106" s="78"/>
      <c r="AM106" s="78"/>
      <c r="AN106" s="136"/>
      <c r="AO106" s="78"/>
      <c r="AP106" s="78"/>
      <c r="AQ106" s="78"/>
      <c r="AR106" s="158"/>
      <c r="AS106" s="158"/>
      <c r="AT106" s="159"/>
      <c r="AU106" s="159"/>
    </row>
    <row r="107" spans="1:47" s="51" customFormat="1" ht="13.5" thickBot="1">
      <c r="A107" s="82"/>
      <c r="B107" s="138" t="s">
        <v>21</v>
      </c>
      <c r="C107" s="139"/>
      <c r="D107" s="140">
        <v>22124.48</v>
      </c>
      <c r="E107" s="161">
        <v>11517.66</v>
      </c>
      <c r="F107" s="64">
        <f>SUM(I107,M107,Q107,U107,Y107,AC107,AG107,AK107,AO107,AS107)</f>
        <v>11700</v>
      </c>
      <c r="G107" s="64">
        <v>10709</v>
      </c>
      <c r="H107" s="65"/>
      <c r="I107" s="65"/>
      <c r="J107" s="65"/>
      <c r="K107" s="66"/>
      <c r="L107" s="65"/>
      <c r="M107" s="65"/>
      <c r="N107" s="65"/>
      <c r="O107" s="65"/>
      <c r="P107" s="65"/>
      <c r="Q107" s="65"/>
      <c r="R107" s="65"/>
      <c r="S107" s="65"/>
      <c r="T107" s="65"/>
      <c r="U107" s="66">
        <v>11700</v>
      </c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193"/>
      <c r="AG107" s="65"/>
      <c r="AH107" s="65"/>
      <c r="AI107" s="66">
        <f>AI104</f>
        <v>10709</v>
      </c>
      <c r="AJ107" s="65"/>
      <c r="AK107" s="65"/>
      <c r="AL107" s="65"/>
      <c r="AM107" s="65"/>
      <c r="AN107" s="68"/>
      <c r="AO107" s="65"/>
      <c r="AP107" s="65"/>
      <c r="AQ107" s="65"/>
      <c r="AR107" s="69"/>
      <c r="AS107" s="69"/>
      <c r="AT107" s="71"/>
      <c r="AU107" s="71"/>
    </row>
    <row r="108" spans="1:47" s="51" customFormat="1" ht="102.75" thickTop="1">
      <c r="A108" s="80">
        <v>33</v>
      </c>
      <c r="B108" s="130" t="s">
        <v>12</v>
      </c>
      <c r="C108" s="130">
        <v>5</v>
      </c>
      <c r="D108" s="109"/>
      <c r="E108" s="109"/>
      <c r="F108" s="131"/>
      <c r="G108" s="131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6" t="s">
        <v>806</v>
      </c>
      <c r="S108" s="15">
        <v>2364</v>
      </c>
      <c r="T108" s="18" t="s">
        <v>508</v>
      </c>
      <c r="U108" s="14">
        <v>3000</v>
      </c>
      <c r="V108" s="16"/>
      <c r="W108" s="14"/>
      <c r="X108" s="18" t="s">
        <v>509</v>
      </c>
      <c r="Y108" s="14">
        <v>10000</v>
      </c>
      <c r="Z108" s="15"/>
      <c r="AA108" s="15"/>
      <c r="AB108" s="24" t="s">
        <v>207</v>
      </c>
      <c r="AC108" s="14">
        <v>5586</v>
      </c>
      <c r="AD108" s="16"/>
      <c r="AE108" s="14"/>
      <c r="AF108" s="24" t="s">
        <v>321</v>
      </c>
      <c r="AG108" s="16"/>
      <c r="AH108" s="16" t="s">
        <v>409</v>
      </c>
      <c r="AI108" s="16">
        <f>12985+9194</f>
        <v>22179</v>
      </c>
      <c r="AJ108" s="16"/>
      <c r="AK108" s="14"/>
      <c r="AL108" s="15"/>
      <c r="AM108" s="15"/>
      <c r="AN108" s="24"/>
      <c r="AO108" s="15"/>
      <c r="AP108" s="15"/>
      <c r="AQ108" s="15"/>
      <c r="AR108" s="149"/>
      <c r="AS108" s="149"/>
      <c r="AT108" s="26"/>
      <c r="AU108" s="26"/>
    </row>
    <row r="109" spans="1:47" s="51" customFormat="1" ht="89.25">
      <c r="A109" s="81"/>
      <c r="B109" s="254"/>
      <c r="C109" s="254"/>
      <c r="D109" s="255"/>
      <c r="E109" s="255"/>
      <c r="F109" s="256"/>
      <c r="G109" s="256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18" t="s">
        <v>494</v>
      </c>
      <c r="U109" s="154">
        <v>3200</v>
      </c>
      <c r="V109" s="153"/>
      <c r="W109" s="154"/>
      <c r="X109" s="134"/>
      <c r="Y109" s="154"/>
      <c r="Z109" s="78"/>
      <c r="AA109" s="78"/>
      <c r="AB109" s="250"/>
      <c r="AC109" s="154"/>
      <c r="AD109" s="153"/>
      <c r="AE109" s="154"/>
      <c r="AF109" s="136"/>
      <c r="AG109" s="153"/>
      <c r="AH109" s="78"/>
      <c r="AI109" s="78"/>
      <c r="AJ109" s="153"/>
      <c r="AK109" s="154"/>
      <c r="AL109" s="78"/>
      <c r="AM109" s="78"/>
      <c r="AN109" s="136"/>
      <c r="AO109" s="78"/>
      <c r="AP109" s="78"/>
      <c r="AQ109" s="78"/>
      <c r="AR109" s="158"/>
      <c r="AS109" s="158"/>
      <c r="AT109" s="159"/>
      <c r="AU109" s="159"/>
    </row>
    <row r="110" spans="1:47" s="51" customFormat="1" ht="13.5" thickBot="1">
      <c r="A110" s="82"/>
      <c r="B110" s="169" t="s">
        <v>21</v>
      </c>
      <c r="C110" s="170"/>
      <c r="D110" s="63">
        <v>36116.160000000003</v>
      </c>
      <c r="E110" s="63">
        <v>-29.53</v>
      </c>
      <c r="F110" s="172">
        <f>SUM(I110,M110,Q110,U110,Y110,AC110,AG110,AK110,AO110,AS110)</f>
        <v>69830</v>
      </c>
      <c r="G110" s="172">
        <v>24543</v>
      </c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>
        <v>2364</v>
      </c>
      <c r="T110" s="65"/>
      <c r="U110" s="66">
        <v>6200</v>
      </c>
      <c r="V110" s="65"/>
      <c r="W110" s="66"/>
      <c r="X110" s="65"/>
      <c r="Y110" s="66">
        <v>10000</v>
      </c>
      <c r="Z110" s="65"/>
      <c r="AA110" s="65"/>
      <c r="AB110" s="65"/>
      <c r="AC110" s="66">
        <v>5586</v>
      </c>
      <c r="AD110" s="65"/>
      <c r="AE110" s="66"/>
      <c r="AF110" s="193"/>
      <c r="AG110" s="66">
        <v>48044</v>
      </c>
      <c r="AH110" s="65"/>
      <c r="AI110" s="65">
        <v>22179</v>
      </c>
      <c r="AJ110" s="65"/>
      <c r="AK110" s="66"/>
      <c r="AL110" s="65"/>
      <c r="AM110" s="65"/>
      <c r="AN110" s="68"/>
      <c r="AO110" s="65"/>
      <c r="AP110" s="65"/>
      <c r="AQ110" s="65"/>
      <c r="AR110" s="69"/>
      <c r="AS110" s="69"/>
      <c r="AT110" s="71"/>
      <c r="AU110" s="71"/>
    </row>
    <row r="111" spans="1:47" s="51" customFormat="1" ht="128.25" thickTop="1">
      <c r="A111" s="80">
        <v>34</v>
      </c>
      <c r="B111" s="143" t="s">
        <v>12</v>
      </c>
      <c r="C111" s="143">
        <v>6</v>
      </c>
      <c r="D111" s="171"/>
      <c r="E111" s="171"/>
      <c r="F111" s="106"/>
      <c r="G111" s="106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8" t="s">
        <v>507</v>
      </c>
      <c r="U111" s="14">
        <v>2000</v>
      </c>
      <c r="V111" s="15"/>
      <c r="W111" s="15"/>
      <c r="X111" s="16"/>
      <c r="Y111" s="15"/>
      <c r="Z111" s="15"/>
      <c r="AA111" s="15"/>
      <c r="AB111" s="198" t="s">
        <v>174</v>
      </c>
      <c r="AC111" s="14">
        <v>8379</v>
      </c>
      <c r="AD111" s="15" t="s">
        <v>459</v>
      </c>
      <c r="AE111" s="15">
        <v>4035</v>
      </c>
      <c r="AF111" s="24" t="s">
        <v>208</v>
      </c>
      <c r="AG111" s="16" t="s">
        <v>209</v>
      </c>
      <c r="AH111" s="16" t="s">
        <v>318</v>
      </c>
      <c r="AI111" s="20">
        <f>3265+3039+2321</f>
        <v>8625</v>
      </c>
      <c r="AJ111" s="24"/>
      <c r="AK111" s="15"/>
      <c r="AL111" s="15"/>
      <c r="AM111" s="15"/>
      <c r="AN111" s="24"/>
      <c r="AO111" s="15"/>
      <c r="AP111" s="15"/>
      <c r="AQ111" s="15"/>
      <c r="AR111" s="149"/>
      <c r="AS111" s="149"/>
      <c r="AT111" s="26"/>
      <c r="AU111" s="26"/>
    </row>
    <row r="112" spans="1:47" s="51" customFormat="1" ht="89.25">
      <c r="A112" s="81"/>
      <c r="B112" s="184"/>
      <c r="C112" s="184"/>
      <c r="D112" s="108"/>
      <c r="E112" s="108"/>
      <c r="F112" s="110"/>
      <c r="G112" s="110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8" t="s">
        <v>494</v>
      </c>
      <c r="U112" s="127">
        <v>3200</v>
      </c>
      <c r="V112" s="125"/>
      <c r="W112" s="125"/>
      <c r="X112" s="18"/>
      <c r="Y112" s="125"/>
      <c r="Z112" s="125"/>
      <c r="AA112" s="125"/>
      <c r="AB112" s="253"/>
      <c r="AC112" s="127"/>
      <c r="AD112" s="125"/>
      <c r="AE112" s="125"/>
      <c r="AF112" s="25"/>
      <c r="AG112" s="18"/>
      <c r="AH112" s="18" t="s">
        <v>460</v>
      </c>
      <c r="AI112" s="127">
        <v>2165</v>
      </c>
      <c r="AJ112" s="25"/>
      <c r="AK112" s="125"/>
      <c r="AL112" s="125"/>
      <c r="AM112" s="125"/>
      <c r="AN112" s="25"/>
      <c r="AO112" s="125"/>
      <c r="AP112" s="125"/>
      <c r="AQ112" s="125"/>
      <c r="AR112" s="22"/>
      <c r="AS112" s="22"/>
      <c r="AT112" s="50"/>
      <c r="AU112" s="50"/>
    </row>
    <row r="113" spans="1:47" s="51" customFormat="1" ht="127.5">
      <c r="A113" s="81"/>
      <c r="B113" s="130"/>
      <c r="C113" s="130"/>
      <c r="D113" s="109"/>
      <c r="E113" s="109"/>
      <c r="F113" s="131"/>
      <c r="G113" s="131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18" t="s">
        <v>596</v>
      </c>
      <c r="U113" s="154">
        <v>6500</v>
      </c>
      <c r="V113" s="78"/>
      <c r="W113" s="78"/>
      <c r="X113" s="153"/>
      <c r="Y113" s="78"/>
      <c r="Z113" s="78"/>
      <c r="AA113" s="78"/>
      <c r="AB113" s="250"/>
      <c r="AC113" s="154"/>
      <c r="AD113" s="78"/>
      <c r="AE113" s="78"/>
      <c r="AF113" s="136"/>
      <c r="AG113" s="153"/>
      <c r="AH113" s="153"/>
      <c r="AI113" s="154"/>
      <c r="AJ113" s="136"/>
      <c r="AK113" s="78"/>
      <c r="AL113" s="78"/>
      <c r="AM113" s="78"/>
      <c r="AN113" s="136"/>
      <c r="AO113" s="78"/>
      <c r="AP113" s="78"/>
      <c r="AQ113" s="78"/>
      <c r="AR113" s="158"/>
      <c r="AS113" s="158"/>
      <c r="AT113" s="159"/>
      <c r="AU113" s="159"/>
    </row>
    <row r="114" spans="1:47" s="51" customFormat="1" ht="13.5" thickBot="1">
      <c r="A114" s="82"/>
      <c r="B114" s="169" t="s">
        <v>21</v>
      </c>
      <c r="C114" s="170"/>
      <c r="D114" s="63">
        <v>22233.279999999999</v>
      </c>
      <c r="E114" s="63">
        <v>4690.9799999999996</v>
      </c>
      <c r="F114" s="64">
        <f>SUM(I114,M114,Q114,U114,Y114,AC114,AG114,AK114,AO114,AS114)</f>
        <v>39009</v>
      </c>
      <c r="G114" s="64">
        <v>14825</v>
      </c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6">
        <v>11700</v>
      </c>
      <c r="V114" s="65"/>
      <c r="W114" s="65"/>
      <c r="X114" s="65"/>
      <c r="Y114" s="65"/>
      <c r="Z114" s="65"/>
      <c r="AA114" s="65"/>
      <c r="AB114" s="65"/>
      <c r="AC114" s="66">
        <v>8379</v>
      </c>
      <c r="AD114" s="65"/>
      <c r="AE114" s="65">
        <f>AE111</f>
        <v>4035</v>
      </c>
      <c r="AF114" s="67"/>
      <c r="AG114" s="66">
        <v>18930</v>
      </c>
      <c r="AH114" s="65"/>
      <c r="AI114" s="66">
        <f>AI111+AI112</f>
        <v>10790</v>
      </c>
      <c r="AJ114" s="65"/>
      <c r="AK114" s="65"/>
      <c r="AL114" s="65"/>
      <c r="AM114" s="65"/>
      <c r="AN114" s="65"/>
      <c r="AO114" s="65"/>
      <c r="AP114" s="65"/>
      <c r="AQ114" s="65"/>
      <c r="AR114" s="69"/>
      <c r="AS114" s="69"/>
      <c r="AT114" s="71"/>
      <c r="AU114" s="71"/>
    </row>
    <row r="115" spans="1:47" s="51" customFormat="1" ht="64.5" thickTop="1">
      <c r="A115" s="80">
        <v>35</v>
      </c>
      <c r="B115" s="143" t="s">
        <v>12</v>
      </c>
      <c r="C115" s="143">
        <v>8</v>
      </c>
      <c r="D115" s="171"/>
      <c r="E115" s="171"/>
      <c r="F115" s="106"/>
      <c r="G115" s="106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8" t="s">
        <v>507</v>
      </c>
      <c r="U115" s="14">
        <v>2000</v>
      </c>
      <c r="V115" s="15"/>
      <c r="W115" s="15"/>
      <c r="X115" s="16"/>
      <c r="Y115" s="15"/>
      <c r="Z115" s="15"/>
      <c r="AA115" s="15"/>
      <c r="AB115" s="198" t="s">
        <v>207</v>
      </c>
      <c r="AC115" s="14">
        <v>5586</v>
      </c>
      <c r="AD115" s="15"/>
      <c r="AE115" s="15"/>
      <c r="AF115" s="24" t="s">
        <v>276</v>
      </c>
      <c r="AG115" s="16" t="s">
        <v>277</v>
      </c>
      <c r="AH115" s="16"/>
      <c r="AI115" s="14"/>
      <c r="AJ115" s="24"/>
      <c r="AK115" s="15"/>
      <c r="AL115" s="15"/>
      <c r="AM115" s="15"/>
      <c r="AN115" s="15"/>
      <c r="AO115" s="15"/>
      <c r="AP115" s="15"/>
      <c r="AQ115" s="15"/>
      <c r="AR115" s="149"/>
      <c r="AS115" s="149"/>
      <c r="AT115" s="26"/>
      <c r="AU115" s="26"/>
    </row>
    <row r="116" spans="1:47" s="51" customFormat="1" ht="89.25">
      <c r="A116" s="81"/>
      <c r="B116" s="184"/>
      <c r="C116" s="184"/>
      <c r="D116" s="108"/>
      <c r="E116" s="108"/>
      <c r="F116" s="110"/>
      <c r="G116" s="110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18" t="s">
        <v>494</v>
      </c>
      <c r="U116" s="154">
        <v>3200</v>
      </c>
      <c r="V116" s="78"/>
      <c r="W116" s="78"/>
      <c r="X116" s="153"/>
      <c r="Y116" s="78"/>
      <c r="Z116" s="78"/>
      <c r="AA116" s="78"/>
      <c r="AB116" s="250"/>
      <c r="AC116" s="154"/>
      <c r="AD116" s="78"/>
      <c r="AE116" s="78"/>
      <c r="AF116" s="136" t="s">
        <v>274</v>
      </c>
      <c r="AG116" s="153" t="s">
        <v>275</v>
      </c>
      <c r="AH116" s="153"/>
      <c r="AI116" s="154"/>
      <c r="AJ116" s="136"/>
      <c r="AK116" s="78"/>
      <c r="AL116" s="78"/>
      <c r="AM116" s="78"/>
      <c r="AN116" s="78"/>
      <c r="AO116" s="78"/>
      <c r="AP116" s="78"/>
      <c r="AQ116" s="78"/>
      <c r="AR116" s="158"/>
      <c r="AS116" s="158"/>
      <c r="AT116" s="159"/>
      <c r="AU116" s="159"/>
    </row>
    <row r="117" spans="1:47" s="51" customFormat="1" ht="127.5">
      <c r="A117" s="81"/>
      <c r="B117" s="130"/>
      <c r="C117" s="130"/>
      <c r="D117" s="109"/>
      <c r="E117" s="109"/>
      <c r="F117" s="131"/>
      <c r="G117" s="131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8" t="s">
        <v>596</v>
      </c>
      <c r="U117" s="127">
        <v>6500</v>
      </c>
      <c r="V117" s="125"/>
      <c r="W117" s="125"/>
      <c r="X117" s="18"/>
      <c r="Y117" s="125"/>
      <c r="Z117" s="125"/>
      <c r="AA117" s="125"/>
      <c r="AB117" s="253"/>
      <c r="AC117" s="127"/>
      <c r="AD117" s="125"/>
      <c r="AE117" s="125"/>
      <c r="AF117" s="25"/>
      <c r="AG117" s="18"/>
      <c r="AH117" s="18"/>
      <c r="AI117" s="127"/>
      <c r="AJ117" s="25"/>
      <c r="AK117" s="125"/>
      <c r="AL117" s="125"/>
      <c r="AM117" s="125"/>
      <c r="AN117" s="125"/>
      <c r="AO117" s="125"/>
      <c r="AP117" s="125"/>
      <c r="AQ117" s="125"/>
      <c r="AR117" s="22"/>
      <c r="AS117" s="22"/>
      <c r="AT117" s="50"/>
      <c r="AU117" s="50"/>
    </row>
    <row r="118" spans="1:47" s="51" customFormat="1" ht="13.5" thickBot="1">
      <c r="A118" s="82"/>
      <c r="B118" s="169" t="s">
        <v>21</v>
      </c>
      <c r="C118" s="170"/>
      <c r="D118" s="222">
        <v>22423.68</v>
      </c>
      <c r="E118" s="222">
        <v>-15599.86</v>
      </c>
      <c r="F118" s="172">
        <f>SUM(I118,M118,Q118,U118,Y118,AC118,AG118,AK118,AO118,AS118)</f>
        <v>36479</v>
      </c>
      <c r="G118" s="172">
        <v>0</v>
      </c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65"/>
      <c r="U118" s="154">
        <v>11700</v>
      </c>
      <c r="V118" s="78"/>
      <c r="W118" s="78"/>
      <c r="X118" s="78"/>
      <c r="Y118" s="78"/>
      <c r="Z118" s="78"/>
      <c r="AA118" s="78"/>
      <c r="AB118" s="78"/>
      <c r="AC118" s="154">
        <v>5586</v>
      </c>
      <c r="AD118" s="78"/>
      <c r="AE118" s="78"/>
      <c r="AF118" s="136"/>
      <c r="AG118" s="154">
        <v>19193</v>
      </c>
      <c r="AH118" s="78"/>
      <c r="AI118" s="154"/>
      <c r="AJ118" s="78"/>
      <c r="AK118" s="78"/>
      <c r="AL118" s="78"/>
      <c r="AM118" s="78"/>
      <c r="AN118" s="78"/>
      <c r="AO118" s="78"/>
      <c r="AP118" s="78"/>
      <c r="AQ118" s="205"/>
      <c r="AR118" s="239"/>
      <c r="AS118" s="239"/>
      <c r="AT118" s="240"/>
      <c r="AU118" s="240"/>
    </row>
    <row r="119" spans="1:47" s="51" customFormat="1" ht="77.25" thickTop="1">
      <c r="A119" s="80">
        <v>36</v>
      </c>
      <c r="B119" s="143" t="s">
        <v>12</v>
      </c>
      <c r="C119" s="143">
        <v>9</v>
      </c>
      <c r="D119" s="171"/>
      <c r="E119" s="171"/>
      <c r="F119" s="106"/>
      <c r="G119" s="106"/>
      <c r="H119" s="16" t="s">
        <v>132</v>
      </c>
      <c r="I119" s="14">
        <v>1300</v>
      </c>
      <c r="J119" s="15"/>
      <c r="K119" s="15"/>
      <c r="L119" s="15"/>
      <c r="M119" s="15"/>
      <c r="N119" s="15"/>
      <c r="O119" s="15"/>
      <c r="P119" s="15"/>
      <c r="Q119" s="15"/>
      <c r="R119" s="16" t="s">
        <v>808</v>
      </c>
      <c r="S119" s="16">
        <v>2806</v>
      </c>
      <c r="T119" s="13" t="s">
        <v>594</v>
      </c>
      <c r="U119" s="14">
        <v>7000</v>
      </c>
      <c r="V119" s="16" t="s">
        <v>493</v>
      </c>
      <c r="W119" s="16">
        <v>1624</v>
      </c>
      <c r="X119" s="16"/>
      <c r="Y119" s="15"/>
      <c r="Z119" s="16" t="s">
        <v>809</v>
      </c>
      <c r="AA119" s="15">
        <v>14131</v>
      </c>
      <c r="AB119" s="198" t="s">
        <v>41</v>
      </c>
      <c r="AC119" s="14">
        <v>11172</v>
      </c>
      <c r="AD119" s="15"/>
      <c r="AE119" s="15"/>
      <c r="AF119" s="24" t="s">
        <v>636</v>
      </c>
      <c r="AG119" s="20" t="s">
        <v>273</v>
      </c>
      <c r="AH119" s="16" t="s">
        <v>418</v>
      </c>
      <c r="AI119" s="16" t="s">
        <v>807</v>
      </c>
      <c r="AJ119" s="175"/>
      <c r="AK119" s="15"/>
      <c r="AL119" s="15"/>
      <c r="AM119" s="15"/>
      <c r="AN119" s="24"/>
      <c r="AO119" s="15"/>
      <c r="AP119" s="15"/>
      <c r="AQ119" s="57"/>
      <c r="AR119" s="149"/>
      <c r="AS119" s="149"/>
      <c r="AT119" s="26"/>
      <c r="AU119" s="26"/>
    </row>
    <row r="120" spans="1:47" s="51" customFormat="1" ht="89.25">
      <c r="A120" s="81"/>
      <c r="B120" s="184"/>
      <c r="C120" s="184"/>
      <c r="D120" s="108"/>
      <c r="E120" s="108"/>
      <c r="F120" s="110"/>
      <c r="G120" s="110"/>
      <c r="H120" s="153"/>
      <c r="I120" s="154"/>
      <c r="J120" s="78"/>
      <c r="K120" s="78"/>
      <c r="L120" s="78"/>
      <c r="M120" s="78"/>
      <c r="N120" s="78"/>
      <c r="O120" s="78"/>
      <c r="P120" s="78"/>
      <c r="Q120" s="78"/>
      <c r="R120" s="153" t="s">
        <v>342</v>
      </c>
      <c r="S120" s="78">
        <v>2992</v>
      </c>
      <c r="T120" s="18" t="s">
        <v>494</v>
      </c>
      <c r="U120" s="154">
        <v>3200</v>
      </c>
      <c r="V120" s="78"/>
      <c r="W120" s="78"/>
      <c r="X120" s="153"/>
      <c r="Y120" s="78"/>
      <c r="Z120" s="78"/>
      <c r="AA120" s="78"/>
      <c r="AB120" s="250"/>
      <c r="AC120" s="154"/>
      <c r="AD120" s="78"/>
      <c r="AE120" s="78"/>
      <c r="AF120" s="136" t="s">
        <v>304</v>
      </c>
      <c r="AG120" s="201" t="s">
        <v>305</v>
      </c>
      <c r="AH120" s="78"/>
      <c r="AI120" s="78"/>
      <c r="AJ120" s="155"/>
      <c r="AK120" s="78"/>
      <c r="AL120" s="78"/>
      <c r="AM120" s="78"/>
      <c r="AN120" s="136"/>
      <c r="AO120" s="78"/>
      <c r="AP120" s="78"/>
      <c r="AQ120" s="78"/>
      <c r="AR120" s="158"/>
      <c r="AS120" s="158"/>
      <c r="AT120" s="159"/>
      <c r="AU120" s="159"/>
    </row>
    <row r="121" spans="1:47" s="51" customFormat="1" ht="127.5">
      <c r="A121" s="81"/>
      <c r="B121" s="130"/>
      <c r="C121" s="130"/>
      <c r="D121" s="109"/>
      <c r="E121" s="109"/>
      <c r="F121" s="131"/>
      <c r="G121" s="131"/>
      <c r="H121" s="18"/>
      <c r="I121" s="127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8" t="s">
        <v>596</v>
      </c>
      <c r="U121" s="127">
        <v>6500</v>
      </c>
      <c r="V121" s="125"/>
      <c r="W121" s="125"/>
      <c r="X121" s="18"/>
      <c r="Y121" s="125"/>
      <c r="Z121" s="125"/>
      <c r="AA121" s="125"/>
      <c r="AB121" s="253"/>
      <c r="AC121" s="127"/>
      <c r="AD121" s="125"/>
      <c r="AE121" s="125"/>
      <c r="AF121" s="25" t="s">
        <v>622</v>
      </c>
      <c r="AG121" s="217">
        <v>7667</v>
      </c>
      <c r="AH121" s="125"/>
      <c r="AI121" s="125"/>
      <c r="AJ121" s="231"/>
      <c r="AK121" s="125"/>
      <c r="AL121" s="125"/>
      <c r="AM121" s="125"/>
      <c r="AN121" s="25"/>
      <c r="AO121" s="125"/>
      <c r="AP121" s="125"/>
      <c r="AQ121" s="125"/>
      <c r="AR121" s="22"/>
      <c r="AS121" s="22"/>
      <c r="AT121" s="50"/>
      <c r="AU121" s="50"/>
    </row>
    <row r="122" spans="1:47" s="51" customFormat="1" ht="13.5" thickBot="1">
      <c r="A122" s="82"/>
      <c r="B122" s="169" t="s">
        <v>21</v>
      </c>
      <c r="C122" s="170"/>
      <c r="D122" s="63">
        <v>35865.919999999998</v>
      </c>
      <c r="E122" s="63">
        <v>-11591.85</v>
      </c>
      <c r="F122" s="172">
        <f>SUM(I122,M122,Q122,U122,Y122,AC122,AG122,AK122,AO122,AS122)</f>
        <v>62277</v>
      </c>
      <c r="G122" s="257">
        <v>34965</v>
      </c>
      <c r="H122" s="205"/>
      <c r="I122" s="206">
        <v>1300</v>
      </c>
      <c r="J122" s="205"/>
      <c r="K122" s="205"/>
      <c r="L122" s="205"/>
      <c r="M122" s="205"/>
      <c r="N122" s="205"/>
      <c r="O122" s="205"/>
      <c r="P122" s="205"/>
      <c r="Q122" s="205"/>
      <c r="R122" s="205"/>
      <c r="S122" s="205">
        <f>S119+S120</f>
        <v>5798</v>
      </c>
      <c r="T122" s="205"/>
      <c r="U122" s="206">
        <v>16700</v>
      </c>
      <c r="V122" s="205"/>
      <c r="W122" s="205">
        <v>1624</v>
      </c>
      <c r="X122" s="205"/>
      <c r="Y122" s="205"/>
      <c r="Z122" s="205"/>
      <c r="AA122" s="205">
        <f>AA119</f>
        <v>14131</v>
      </c>
      <c r="AB122" s="205"/>
      <c r="AC122" s="206">
        <v>11172</v>
      </c>
      <c r="AD122" s="205"/>
      <c r="AE122" s="205"/>
      <c r="AF122" s="237"/>
      <c r="AG122" s="206">
        <v>33105</v>
      </c>
      <c r="AH122" s="205"/>
      <c r="AI122" s="205">
        <f>4355+1390+7667</f>
        <v>13412</v>
      </c>
      <c r="AJ122" s="205"/>
      <c r="AK122" s="205"/>
      <c r="AL122" s="205"/>
      <c r="AM122" s="205"/>
      <c r="AN122" s="205"/>
      <c r="AO122" s="205"/>
      <c r="AP122" s="205"/>
      <c r="AQ122" s="205"/>
      <c r="AR122" s="239"/>
      <c r="AS122" s="239"/>
      <c r="AT122" s="240"/>
      <c r="AU122" s="240"/>
    </row>
    <row r="123" spans="1:47" s="51" customFormat="1" ht="90" thickTop="1">
      <c r="A123" s="80">
        <v>37</v>
      </c>
      <c r="B123" s="143" t="s">
        <v>12</v>
      </c>
      <c r="C123" s="143">
        <v>10</v>
      </c>
      <c r="D123" s="171"/>
      <c r="E123" s="171"/>
      <c r="F123" s="106"/>
      <c r="G123" s="106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8" t="s">
        <v>507</v>
      </c>
      <c r="U123" s="14">
        <v>2000</v>
      </c>
      <c r="V123" s="16"/>
      <c r="W123" s="15"/>
      <c r="X123" s="16"/>
      <c r="Y123" s="15"/>
      <c r="Z123" s="15"/>
      <c r="AA123" s="15"/>
      <c r="AB123" s="198" t="s">
        <v>210</v>
      </c>
      <c r="AC123" s="14">
        <v>7448</v>
      </c>
      <c r="AD123" s="15"/>
      <c r="AE123" s="15"/>
      <c r="AF123" s="24" t="s">
        <v>621</v>
      </c>
      <c r="AG123" s="16" t="s">
        <v>211</v>
      </c>
      <c r="AH123" s="16" t="s">
        <v>419</v>
      </c>
      <c r="AI123" s="16">
        <v>1946</v>
      </c>
      <c r="AJ123" s="15"/>
      <c r="AK123" s="15"/>
      <c r="AL123" s="15"/>
      <c r="AM123" s="15"/>
      <c r="AN123" s="15"/>
      <c r="AO123" s="15"/>
      <c r="AP123" s="15"/>
      <c r="AQ123" s="57"/>
      <c r="AR123" s="149"/>
      <c r="AS123" s="149"/>
      <c r="AT123" s="26"/>
      <c r="AU123" s="26"/>
    </row>
    <row r="124" spans="1:47" s="51" customFormat="1" ht="89.25">
      <c r="A124" s="81"/>
      <c r="B124" s="184"/>
      <c r="C124" s="184"/>
      <c r="D124" s="108"/>
      <c r="E124" s="108"/>
      <c r="F124" s="110"/>
      <c r="G124" s="110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8" t="s">
        <v>494</v>
      </c>
      <c r="U124" s="127">
        <v>3200</v>
      </c>
      <c r="V124" s="18"/>
      <c r="W124" s="125"/>
      <c r="X124" s="18"/>
      <c r="Y124" s="125"/>
      <c r="Z124" s="125"/>
      <c r="AA124" s="125"/>
      <c r="AB124" s="253"/>
      <c r="AC124" s="127"/>
      <c r="AD124" s="125"/>
      <c r="AE124" s="125"/>
      <c r="AF124" s="25"/>
      <c r="AG124" s="18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22"/>
      <c r="AS124" s="22"/>
      <c r="AT124" s="50"/>
      <c r="AU124" s="50"/>
    </row>
    <row r="125" spans="1:47" s="51" customFormat="1" ht="127.5">
      <c r="A125" s="81"/>
      <c r="B125" s="130"/>
      <c r="C125" s="130"/>
      <c r="D125" s="109"/>
      <c r="E125" s="109"/>
      <c r="F125" s="131"/>
      <c r="G125" s="131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18" t="s">
        <v>596</v>
      </c>
      <c r="U125" s="154">
        <v>6500</v>
      </c>
      <c r="V125" s="153"/>
      <c r="W125" s="78"/>
      <c r="X125" s="153"/>
      <c r="Y125" s="78"/>
      <c r="Z125" s="78"/>
      <c r="AA125" s="78"/>
      <c r="AB125" s="250"/>
      <c r="AC125" s="154"/>
      <c r="AD125" s="78"/>
      <c r="AE125" s="78"/>
      <c r="AF125" s="136"/>
      <c r="AG125" s="153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158"/>
      <c r="AS125" s="158"/>
      <c r="AT125" s="159"/>
      <c r="AU125" s="159"/>
    </row>
    <row r="126" spans="1:47" s="51" customFormat="1" ht="13.5" thickBot="1">
      <c r="A126" s="82"/>
      <c r="B126" s="169" t="s">
        <v>21</v>
      </c>
      <c r="C126" s="170"/>
      <c r="D126" s="63">
        <v>22559.68</v>
      </c>
      <c r="E126" s="63">
        <v>23098.58</v>
      </c>
      <c r="F126" s="172">
        <f>SUM(I126,M126,Q126,U126,Y126,AC126,AG126,AK126,AO126,AS126)</f>
        <v>34784</v>
      </c>
      <c r="G126" s="141">
        <v>1946</v>
      </c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6">
        <v>11700</v>
      </c>
      <c r="V126" s="65"/>
      <c r="W126" s="65"/>
      <c r="X126" s="65"/>
      <c r="Y126" s="65"/>
      <c r="Z126" s="65"/>
      <c r="AA126" s="65"/>
      <c r="AB126" s="65"/>
      <c r="AC126" s="66">
        <v>7448</v>
      </c>
      <c r="AD126" s="65"/>
      <c r="AE126" s="65"/>
      <c r="AF126" s="193"/>
      <c r="AG126" s="66">
        <v>15636</v>
      </c>
      <c r="AH126" s="65"/>
      <c r="AI126" s="65">
        <v>1946</v>
      </c>
      <c r="AJ126" s="65"/>
      <c r="AK126" s="65"/>
      <c r="AL126" s="65"/>
      <c r="AM126" s="65"/>
      <c r="AN126" s="68"/>
      <c r="AO126" s="65"/>
      <c r="AP126" s="65"/>
      <c r="AQ126" s="65"/>
      <c r="AR126" s="69"/>
      <c r="AS126" s="69"/>
      <c r="AT126" s="71"/>
      <c r="AU126" s="71"/>
    </row>
    <row r="127" spans="1:47" s="51" customFormat="1" ht="64.5" thickTop="1">
      <c r="A127" s="80">
        <v>38</v>
      </c>
      <c r="B127" s="143" t="s">
        <v>12</v>
      </c>
      <c r="C127" s="143">
        <v>11</v>
      </c>
      <c r="D127" s="171"/>
      <c r="E127" s="171"/>
      <c r="F127" s="106"/>
      <c r="G127" s="106"/>
      <c r="H127" s="15"/>
      <c r="I127" s="15"/>
      <c r="J127" s="16"/>
      <c r="K127" s="14"/>
      <c r="L127" s="15"/>
      <c r="M127" s="15"/>
      <c r="N127" s="57"/>
      <c r="O127" s="57"/>
      <c r="P127" s="16" t="s">
        <v>603</v>
      </c>
      <c r="Q127" s="14">
        <v>3000</v>
      </c>
      <c r="R127" s="16" t="s">
        <v>360</v>
      </c>
      <c r="S127" s="16">
        <v>10000</v>
      </c>
      <c r="T127" s="18" t="s">
        <v>498</v>
      </c>
      <c r="U127" s="14">
        <v>4500</v>
      </c>
      <c r="V127" s="16" t="s">
        <v>810</v>
      </c>
      <c r="W127" s="15">
        <v>6026</v>
      </c>
      <c r="X127" s="16"/>
      <c r="Y127" s="15"/>
      <c r="Z127" s="16" t="s">
        <v>809</v>
      </c>
      <c r="AA127" s="15">
        <v>2567</v>
      </c>
      <c r="AB127" s="198" t="s">
        <v>207</v>
      </c>
      <c r="AC127" s="14">
        <v>5586</v>
      </c>
      <c r="AD127" s="16" t="s">
        <v>394</v>
      </c>
      <c r="AE127" s="14">
        <v>14396</v>
      </c>
      <c r="AF127" s="24" t="s">
        <v>301</v>
      </c>
      <c r="AG127" s="16" t="s">
        <v>303</v>
      </c>
      <c r="AH127" s="16" t="s">
        <v>408</v>
      </c>
      <c r="AI127" s="20">
        <f>4626+11010</f>
        <v>15636</v>
      </c>
      <c r="AJ127" s="175"/>
      <c r="AK127" s="15"/>
      <c r="AL127" s="15"/>
      <c r="AM127" s="15"/>
      <c r="AN127" s="24"/>
      <c r="AO127" s="15"/>
      <c r="AP127" s="15"/>
      <c r="AQ127" s="15"/>
      <c r="AR127" s="149"/>
      <c r="AS127" s="149"/>
      <c r="AT127" s="26"/>
      <c r="AU127" s="26"/>
    </row>
    <row r="128" spans="1:47" s="51" customFormat="1" ht="89.25">
      <c r="A128" s="81"/>
      <c r="B128" s="184"/>
      <c r="C128" s="184"/>
      <c r="D128" s="108"/>
      <c r="E128" s="108"/>
      <c r="F128" s="110"/>
      <c r="G128" s="110"/>
      <c r="H128" s="125"/>
      <c r="I128" s="125"/>
      <c r="J128" s="18"/>
      <c r="K128" s="127"/>
      <c r="L128" s="125"/>
      <c r="M128" s="125"/>
      <c r="N128" s="125"/>
      <c r="O128" s="125"/>
      <c r="P128" s="18"/>
      <c r="Q128" s="127"/>
      <c r="R128" s="125"/>
      <c r="S128" s="125"/>
      <c r="T128" s="18" t="s">
        <v>494</v>
      </c>
      <c r="U128" s="127">
        <v>3200</v>
      </c>
      <c r="V128" s="125"/>
      <c r="W128" s="125"/>
      <c r="X128" s="18"/>
      <c r="Y128" s="125"/>
      <c r="Z128" s="125"/>
      <c r="AA128" s="125"/>
      <c r="AB128" s="253"/>
      <c r="AC128" s="127"/>
      <c r="AD128" s="18"/>
      <c r="AE128" s="127"/>
      <c r="AF128" s="25" t="s">
        <v>300</v>
      </c>
      <c r="AG128" s="18" t="s">
        <v>302</v>
      </c>
      <c r="AH128" s="125"/>
      <c r="AI128" s="127"/>
      <c r="AJ128" s="231"/>
      <c r="AK128" s="125"/>
      <c r="AL128" s="125"/>
      <c r="AM128" s="125"/>
      <c r="AN128" s="25"/>
      <c r="AO128" s="125"/>
      <c r="AP128" s="125"/>
      <c r="AQ128" s="125"/>
      <c r="AR128" s="22"/>
      <c r="AS128" s="22"/>
      <c r="AT128" s="50"/>
      <c r="AU128" s="50"/>
    </row>
    <row r="129" spans="1:47" s="51" customFormat="1" ht="127.5">
      <c r="A129" s="81"/>
      <c r="B129" s="130"/>
      <c r="C129" s="130"/>
      <c r="D129" s="109"/>
      <c r="E129" s="109"/>
      <c r="F129" s="131"/>
      <c r="G129" s="131"/>
      <c r="H129" s="78"/>
      <c r="I129" s="78"/>
      <c r="J129" s="153"/>
      <c r="K129" s="154"/>
      <c r="L129" s="78"/>
      <c r="M129" s="78"/>
      <c r="N129" s="78"/>
      <c r="O129" s="78"/>
      <c r="P129" s="153"/>
      <c r="Q129" s="154"/>
      <c r="R129" s="78"/>
      <c r="S129" s="78"/>
      <c r="T129" s="18" t="s">
        <v>596</v>
      </c>
      <c r="U129" s="154">
        <v>6500</v>
      </c>
      <c r="V129" s="78"/>
      <c r="W129" s="78"/>
      <c r="X129" s="153"/>
      <c r="Y129" s="78"/>
      <c r="Z129" s="78"/>
      <c r="AA129" s="78"/>
      <c r="AB129" s="250"/>
      <c r="AC129" s="154"/>
      <c r="AD129" s="153"/>
      <c r="AE129" s="154"/>
      <c r="AF129" s="136"/>
      <c r="AG129" s="153"/>
      <c r="AH129" s="78"/>
      <c r="AI129" s="154"/>
      <c r="AJ129" s="155"/>
      <c r="AK129" s="78"/>
      <c r="AL129" s="78"/>
      <c r="AM129" s="78"/>
      <c r="AN129" s="136"/>
      <c r="AO129" s="78"/>
      <c r="AP129" s="78"/>
      <c r="AQ129" s="78"/>
      <c r="AR129" s="158"/>
      <c r="AS129" s="158"/>
      <c r="AT129" s="159"/>
      <c r="AU129" s="159"/>
    </row>
    <row r="130" spans="1:47" s="51" customFormat="1" ht="13.5" thickBot="1">
      <c r="A130" s="82"/>
      <c r="B130" s="169" t="s">
        <v>21</v>
      </c>
      <c r="C130" s="170"/>
      <c r="D130" s="63">
        <v>36350.080000000002</v>
      </c>
      <c r="E130" s="63">
        <v>1312.41</v>
      </c>
      <c r="F130" s="172">
        <f>SUM(I130,M130,Q130,U130,Y130,AC130,AG130,AK130,AO130,AS130)</f>
        <v>49306</v>
      </c>
      <c r="G130" s="172">
        <v>48625</v>
      </c>
      <c r="H130" s="65"/>
      <c r="I130" s="65"/>
      <c r="J130" s="65"/>
      <c r="K130" s="66"/>
      <c r="L130" s="65"/>
      <c r="M130" s="65"/>
      <c r="N130" s="65"/>
      <c r="O130" s="65"/>
      <c r="P130" s="65"/>
      <c r="Q130" s="66">
        <v>3000</v>
      </c>
      <c r="R130" s="65"/>
      <c r="S130" s="65">
        <v>10000</v>
      </c>
      <c r="T130" s="65"/>
      <c r="U130" s="66">
        <v>14200</v>
      </c>
      <c r="V130" s="65"/>
      <c r="W130" s="65">
        <f>W127</f>
        <v>6026</v>
      </c>
      <c r="X130" s="65"/>
      <c r="Y130" s="65"/>
      <c r="Z130" s="65"/>
      <c r="AA130" s="65">
        <f>AA127</f>
        <v>2567</v>
      </c>
      <c r="AB130" s="65"/>
      <c r="AC130" s="66">
        <v>5586</v>
      </c>
      <c r="AD130" s="65"/>
      <c r="AE130" s="66">
        <v>14396</v>
      </c>
      <c r="AF130" s="67"/>
      <c r="AG130" s="66">
        <v>26520</v>
      </c>
      <c r="AH130" s="65"/>
      <c r="AI130" s="66">
        <f>AI127</f>
        <v>15636</v>
      </c>
      <c r="AJ130" s="65"/>
      <c r="AK130" s="65"/>
      <c r="AL130" s="65"/>
      <c r="AM130" s="65"/>
      <c r="AN130" s="65"/>
      <c r="AO130" s="65"/>
      <c r="AP130" s="65"/>
      <c r="AQ130" s="65"/>
      <c r="AR130" s="69"/>
      <c r="AS130" s="69"/>
      <c r="AT130" s="71"/>
      <c r="AU130" s="71"/>
    </row>
    <row r="131" spans="1:47" s="51" customFormat="1" ht="115.5" thickTop="1">
      <c r="A131" s="80">
        <v>39</v>
      </c>
      <c r="B131" s="220" t="s">
        <v>12</v>
      </c>
      <c r="C131" s="258">
        <v>13</v>
      </c>
      <c r="D131" s="259"/>
      <c r="E131" s="259"/>
      <c r="F131" s="75"/>
      <c r="G131" s="75"/>
      <c r="H131" s="16"/>
      <c r="I131" s="15"/>
      <c r="J131" s="16" t="s">
        <v>761</v>
      </c>
      <c r="K131" s="16">
        <v>26031</v>
      </c>
      <c r="L131" s="15"/>
      <c r="M131" s="15"/>
      <c r="N131" s="15"/>
      <c r="O131" s="15"/>
      <c r="P131" s="260"/>
      <c r="Q131" s="15"/>
      <c r="R131" s="15"/>
      <c r="S131" s="15"/>
      <c r="T131" s="13" t="s">
        <v>503</v>
      </c>
      <c r="U131" s="14">
        <v>6000</v>
      </c>
      <c r="V131" s="16"/>
      <c r="W131" s="15"/>
      <c r="X131" s="260"/>
      <c r="Y131" s="15"/>
      <c r="Z131" s="57"/>
      <c r="AA131" s="57"/>
      <c r="AB131" s="19" t="s">
        <v>158</v>
      </c>
      <c r="AC131" s="14">
        <v>16758</v>
      </c>
      <c r="AD131" s="13" t="s">
        <v>309</v>
      </c>
      <c r="AE131" s="13">
        <v>15804</v>
      </c>
      <c r="AF131" s="25"/>
      <c r="AG131" s="15"/>
      <c r="AH131" s="15"/>
      <c r="AI131" s="14"/>
      <c r="AJ131" s="175"/>
      <c r="AK131" s="15"/>
      <c r="AL131" s="15"/>
      <c r="AM131" s="15"/>
      <c r="AN131" s="24"/>
      <c r="AO131" s="15"/>
      <c r="AP131" s="15"/>
      <c r="AQ131" s="15"/>
      <c r="AR131" s="261"/>
      <c r="AS131" s="261"/>
      <c r="AT131" s="188"/>
      <c r="AU131" s="188"/>
    </row>
    <row r="132" spans="1:47" s="51" customFormat="1" ht="13.5" thickBot="1">
      <c r="A132" s="82"/>
      <c r="B132" s="169" t="s">
        <v>21</v>
      </c>
      <c r="C132" s="170"/>
      <c r="D132" s="63">
        <v>110883.5</v>
      </c>
      <c r="E132" s="63">
        <v>-28459.02</v>
      </c>
      <c r="F132" s="64">
        <f>SUM(I132,M132,Q132,U132,Y132,AC132,AG132,AK132,AO132,AS132)</f>
        <v>22758</v>
      </c>
      <c r="G132" s="64">
        <v>41835</v>
      </c>
      <c r="H132" s="65"/>
      <c r="I132" s="65"/>
      <c r="J132" s="65"/>
      <c r="K132" s="65">
        <f>K131</f>
        <v>26031</v>
      </c>
      <c r="L132" s="65"/>
      <c r="M132" s="65"/>
      <c r="N132" s="65"/>
      <c r="O132" s="65"/>
      <c r="P132" s="65"/>
      <c r="Q132" s="65"/>
      <c r="R132" s="65"/>
      <c r="S132" s="65"/>
      <c r="T132" s="65"/>
      <c r="U132" s="66">
        <v>6000</v>
      </c>
      <c r="V132" s="65"/>
      <c r="W132" s="65"/>
      <c r="X132" s="65"/>
      <c r="Y132" s="65"/>
      <c r="Z132" s="65"/>
      <c r="AA132" s="65"/>
      <c r="AB132" s="65"/>
      <c r="AC132" s="66">
        <v>16758</v>
      </c>
      <c r="AD132" s="65"/>
      <c r="AE132" s="65">
        <v>15804</v>
      </c>
      <c r="AF132" s="67"/>
      <c r="AG132" s="65"/>
      <c r="AH132" s="65"/>
      <c r="AI132" s="66"/>
      <c r="AJ132" s="65"/>
      <c r="AK132" s="65"/>
      <c r="AL132" s="65"/>
      <c r="AM132" s="65"/>
      <c r="AN132" s="65"/>
      <c r="AO132" s="65"/>
      <c r="AP132" s="65"/>
      <c r="AQ132" s="65"/>
      <c r="AR132" s="69"/>
      <c r="AS132" s="69"/>
      <c r="AT132" s="71"/>
      <c r="AU132" s="71"/>
    </row>
    <row r="133" spans="1:47" s="51" customFormat="1" ht="64.5" thickTop="1">
      <c r="A133" s="80">
        <v>40</v>
      </c>
      <c r="B133" s="220" t="s">
        <v>12</v>
      </c>
      <c r="C133" s="258">
        <v>15</v>
      </c>
      <c r="D133" s="262" t="s">
        <v>248</v>
      </c>
      <c r="E133" s="263"/>
      <c r="F133" s="264"/>
      <c r="G133" s="75"/>
      <c r="H133" s="244"/>
      <c r="I133" s="15"/>
      <c r="J133" s="15"/>
      <c r="K133" s="15"/>
      <c r="L133" s="15"/>
      <c r="M133" s="15"/>
      <c r="N133" s="15"/>
      <c r="O133" s="15"/>
      <c r="P133" s="260"/>
      <c r="Q133" s="15"/>
      <c r="R133" s="15"/>
      <c r="S133" s="15"/>
      <c r="T133" s="13" t="s">
        <v>503</v>
      </c>
      <c r="U133" s="14">
        <v>6000</v>
      </c>
      <c r="V133" s="15"/>
      <c r="W133" s="15"/>
      <c r="X133" s="15"/>
      <c r="Y133" s="15"/>
      <c r="Z133" s="57"/>
      <c r="AA133" s="57"/>
      <c r="AB133" s="19" t="s">
        <v>174</v>
      </c>
      <c r="AC133" s="14">
        <v>8379</v>
      </c>
      <c r="AD133" s="15"/>
      <c r="AE133" s="15"/>
      <c r="AF133" s="24"/>
      <c r="AG133" s="15"/>
      <c r="AH133" s="16" t="s">
        <v>814</v>
      </c>
      <c r="AI133" s="14">
        <v>1658</v>
      </c>
      <c r="AJ133" s="175"/>
      <c r="AK133" s="15"/>
      <c r="AL133" s="57"/>
      <c r="AM133" s="57"/>
      <c r="AN133" s="25"/>
      <c r="AO133" s="15"/>
      <c r="AP133" s="16" t="s">
        <v>813</v>
      </c>
      <c r="AQ133" s="13" t="s">
        <v>812</v>
      </c>
      <c r="AR133" s="149"/>
      <c r="AS133" s="149"/>
      <c r="AT133" s="146" t="s">
        <v>811</v>
      </c>
      <c r="AU133" s="265">
        <v>5300</v>
      </c>
    </row>
    <row r="134" spans="1:47" s="51" customFormat="1" ht="13.5" thickBot="1">
      <c r="A134" s="82"/>
      <c r="B134" s="138" t="s">
        <v>21</v>
      </c>
      <c r="C134" s="139"/>
      <c r="D134" s="140">
        <v>113037.8</v>
      </c>
      <c r="E134" s="140">
        <v>40033.78</v>
      </c>
      <c r="F134" s="64">
        <f>SUM(I134,M134,Q134,U134,Y134,AC134,AG134,AK134,AO134,AS134)</f>
        <v>14379</v>
      </c>
      <c r="G134" s="64">
        <v>12478</v>
      </c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6">
        <v>6000</v>
      </c>
      <c r="V134" s="65"/>
      <c r="W134" s="65"/>
      <c r="X134" s="65"/>
      <c r="Y134" s="65"/>
      <c r="Z134" s="65"/>
      <c r="AA134" s="65"/>
      <c r="AB134" s="65"/>
      <c r="AC134" s="66">
        <v>8379</v>
      </c>
      <c r="AD134" s="65"/>
      <c r="AE134" s="65"/>
      <c r="AF134" s="67"/>
      <c r="AG134" s="65"/>
      <c r="AH134" s="65"/>
      <c r="AI134" s="66">
        <f>AI133</f>
        <v>1658</v>
      </c>
      <c r="AJ134" s="65"/>
      <c r="AK134" s="65"/>
      <c r="AL134" s="65"/>
      <c r="AM134" s="65"/>
      <c r="AN134" s="65"/>
      <c r="AO134" s="65"/>
      <c r="AP134" s="65"/>
      <c r="AQ134" s="65">
        <f>1162+4358</f>
        <v>5520</v>
      </c>
      <c r="AR134" s="69"/>
      <c r="AS134" s="69"/>
      <c r="AT134" s="71"/>
      <c r="AU134" s="71">
        <f>AU133</f>
        <v>5300</v>
      </c>
    </row>
    <row r="135" spans="1:47" s="51" customFormat="1" ht="102.75" thickTop="1">
      <c r="A135" s="80">
        <v>41</v>
      </c>
      <c r="B135" s="130" t="s">
        <v>12</v>
      </c>
      <c r="C135" s="266">
        <v>16</v>
      </c>
      <c r="D135" s="108"/>
      <c r="E135" s="108"/>
      <c r="F135" s="110"/>
      <c r="G135" s="106"/>
      <c r="H135" s="15"/>
      <c r="I135" s="15"/>
      <c r="J135" s="16" t="s">
        <v>817</v>
      </c>
      <c r="K135" s="16" t="s">
        <v>818</v>
      </c>
      <c r="L135" s="15"/>
      <c r="M135" s="15"/>
      <c r="N135" s="15"/>
      <c r="O135" s="15"/>
      <c r="P135" s="16"/>
      <c r="Q135" s="15"/>
      <c r="R135" s="16" t="s">
        <v>342</v>
      </c>
      <c r="S135" s="14">
        <v>22974</v>
      </c>
      <c r="T135" s="18" t="s">
        <v>498</v>
      </c>
      <c r="U135" s="14">
        <v>4500</v>
      </c>
      <c r="V135" s="16"/>
      <c r="W135" s="15"/>
      <c r="X135" s="15"/>
      <c r="Y135" s="15"/>
      <c r="Z135" s="15"/>
      <c r="AA135" s="14"/>
      <c r="AB135" s="198" t="s">
        <v>41</v>
      </c>
      <c r="AC135" s="14">
        <v>11172</v>
      </c>
      <c r="AD135" s="16" t="s">
        <v>365</v>
      </c>
      <c r="AE135" s="20">
        <v>4648</v>
      </c>
      <c r="AF135" s="24" t="s">
        <v>627</v>
      </c>
      <c r="AG135" s="16" t="s">
        <v>212</v>
      </c>
      <c r="AH135" s="16" t="s">
        <v>311</v>
      </c>
      <c r="AI135" s="14">
        <v>1383</v>
      </c>
      <c r="AJ135" s="15"/>
      <c r="AK135" s="15"/>
      <c r="AL135" s="57"/>
      <c r="AM135" s="57"/>
      <c r="AN135" s="25"/>
      <c r="AO135" s="15"/>
      <c r="AP135" s="15"/>
      <c r="AQ135" s="15"/>
      <c r="AR135" s="149"/>
      <c r="AS135" s="149"/>
      <c r="AT135" s="26"/>
      <c r="AU135" s="26"/>
    </row>
    <row r="136" spans="1:47" s="51" customFormat="1" ht="89.25">
      <c r="A136" s="81"/>
      <c r="B136" s="254"/>
      <c r="C136" s="266"/>
      <c r="D136" s="108"/>
      <c r="E136" s="108"/>
      <c r="F136" s="110"/>
      <c r="G136" s="110"/>
      <c r="H136" s="78"/>
      <c r="I136" s="78"/>
      <c r="J136" s="78"/>
      <c r="K136" s="78"/>
      <c r="L136" s="78"/>
      <c r="M136" s="78"/>
      <c r="N136" s="78"/>
      <c r="O136" s="78"/>
      <c r="P136" s="134"/>
      <c r="Q136" s="78"/>
      <c r="R136" s="78"/>
      <c r="S136" s="78"/>
      <c r="T136" s="18" t="s">
        <v>499</v>
      </c>
      <c r="U136" s="154">
        <v>6400</v>
      </c>
      <c r="V136" s="153" t="s">
        <v>816</v>
      </c>
      <c r="W136" s="153" t="s">
        <v>998</v>
      </c>
      <c r="X136" s="78"/>
      <c r="Y136" s="78"/>
      <c r="Z136" s="78"/>
      <c r="AA136" s="78"/>
      <c r="AB136" s="78"/>
      <c r="AC136" s="78"/>
      <c r="AD136" s="78"/>
      <c r="AE136" s="78"/>
      <c r="AF136" s="181"/>
      <c r="AG136" s="78"/>
      <c r="AH136" s="153" t="s">
        <v>999</v>
      </c>
      <c r="AI136" s="78">
        <f>3252+717</f>
        <v>3969</v>
      </c>
      <c r="AJ136" s="78"/>
      <c r="AK136" s="78"/>
      <c r="AL136" s="78"/>
      <c r="AM136" s="78"/>
      <c r="AN136" s="78"/>
      <c r="AO136" s="78"/>
      <c r="AP136" s="78"/>
      <c r="AQ136" s="78"/>
      <c r="AR136" s="215"/>
      <c r="AS136" s="215"/>
      <c r="AT136" s="216"/>
      <c r="AU136" s="216"/>
    </row>
    <row r="137" spans="1:47" s="51" customFormat="1" ht="76.5">
      <c r="A137" s="81"/>
      <c r="B137" s="254"/>
      <c r="C137" s="267"/>
      <c r="D137" s="109"/>
      <c r="E137" s="109"/>
      <c r="F137" s="131"/>
      <c r="G137" s="131"/>
      <c r="H137" s="125"/>
      <c r="I137" s="125"/>
      <c r="J137" s="125"/>
      <c r="K137" s="125"/>
      <c r="L137" s="125"/>
      <c r="M137" s="125"/>
      <c r="N137" s="125"/>
      <c r="O137" s="125"/>
      <c r="P137" s="18"/>
      <c r="Q137" s="125"/>
      <c r="R137" s="125"/>
      <c r="S137" s="125"/>
      <c r="T137" s="18" t="s">
        <v>510</v>
      </c>
      <c r="U137" s="127">
        <v>7000</v>
      </c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125"/>
      <c r="AF137" s="25"/>
      <c r="AG137" s="125"/>
      <c r="AH137" s="18" t="s">
        <v>815</v>
      </c>
      <c r="AI137" s="125">
        <v>11037</v>
      </c>
      <c r="AJ137" s="125"/>
      <c r="AK137" s="125"/>
      <c r="AL137" s="125"/>
      <c r="AM137" s="125"/>
      <c r="AN137" s="125"/>
      <c r="AO137" s="125"/>
      <c r="AP137" s="125"/>
      <c r="AQ137" s="125"/>
      <c r="AR137" s="22"/>
      <c r="AS137" s="22"/>
      <c r="AT137" s="50"/>
      <c r="AU137" s="50"/>
    </row>
    <row r="138" spans="1:47" s="51" customFormat="1" ht="13.5" thickBot="1">
      <c r="A138" s="82"/>
      <c r="B138" s="169" t="s">
        <v>21</v>
      </c>
      <c r="C138" s="170"/>
      <c r="D138" s="63">
        <v>106602.2</v>
      </c>
      <c r="E138" s="63">
        <v>-50938.65</v>
      </c>
      <c r="F138" s="172">
        <f>SUM(I138,M138,Q138,U138,Y138,AC138,AG138,AK138,AO138,AS138)</f>
        <v>72398</v>
      </c>
      <c r="G138" s="64">
        <v>82507</v>
      </c>
      <c r="H138" s="65"/>
      <c r="I138" s="65"/>
      <c r="J138" s="65"/>
      <c r="K138" s="65">
        <f>2082+771</f>
        <v>2853</v>
      </c>
      <c r="L138" s="65"/>
      <c r="M138" s="65"/>
      <c r="N138" s="65"/>
      <c r="O138" s="65"/>
      <c r="P138" s="65"/>
      <c r="Q138" s="65"/>
      <c r="R138" s="65"/>
      <c r="S138" s="66">
        <f>S135</f>
        <v>22974</v>
      </c>
      <c r="T138" s="65"/>
      <c r="U138" s="66">
        <v>17900</v>
      </c>
      <c r="V138" s="65"/>
      <c r="W138" s="65">
        <f>7966+1110+24637+1925</f>
        <v>35638</v>
      </c>
      <c r="X138" s="65"/>
      <c r="Y138" s="65"/>
      <c r="Z138" s="65"/>
      <c r="AA138" s="66"/>
      <c r="AB138" s="65"/>
      <c r="AC138" s="66">
        <v>11172</v>
      </c>
      <c r="AD138" s="65"/>
      <c r="AE138" s="66">
        <f>AE135</f>
        <v>4648</v>
      </c>
      <c r="AF138" s="67"/>
      <c r="AG138" s="66">
        <v>43326</v>
      </c>
      <c r="AH138" s="65"/>
      <c r="AI138" s="66">
        <f>AI137+AI136+AI135</f>
        <v>16389</v>
      </c>
      <c r="AJ138" s="65"/>
      <c r="AK138" s="65"/>
      <c r="AL138" s="65"/>
      <c r="AM138" s="65"/>
      <c r="AN138" s="65"/>
      <c r="AO138" s="65"/>
      <c r="AP138" s="65"/>
      <c r="AQ138" s="65"/>
      <c r="AR138" s="69"/>
      <c r="AS138" s="69"/>
      <c r="AT138" s="71"/>
      <c r="AU138" s="71"/>
    </row>
    <row r="139" spans="1:47" s="51" customFormat="1" ht="77.25" thickTop="1">
      <c r="A139" s="80">
        <v>42</v>
      </c>
      <c r="B139" s="220" t="s">
        <v>12</v>
      </c>
      <c r="C139" s="258">
        <v>17</v>
      </c>
      <c r="D139" s="268"/>
      <c r="E139" s="268"/>
      <c r="F139" s="197"/>
      <c r="G139" s="197"/>
      <c r="H139" s="15"/>
      <c r="I139" s="15"/>
      <c r="J139" s="15"/>
      <c r="K139" s="14"/>
      <c r="L139" s="15"/>
      <c r="M139" s="15"/>
      <c r="N139" s="57"/>
      <c r="O139" s="57"/>
      <c r="P139" s="57"/>
      <c r="Q139" s="15"/>
      <c r="R139" s="15"/>
      <c r="S139" s="15"/>
      <c r="T139" s="13" t="s">
        <v>503</v>
      </c>
      <c r="U139" s="14">
        <v>6000</v>
      </c>
      <c r="V139" s="15"/>
      <c r="W139" s="15"/>
      <c r="X139" s="15"/>
      <c r="Y139" s="15"/>
      <c r="Z139" s="15"/>
      <c r="AA139" s="15"/>
      <c r="AB139" s="198" t="s">
        <v>174</v>
      </c>
      <c r="AC139" s="14">
        <v>8379</v>
      </c>
      <c r="AD139" s="23" t="s">
        <v>395</v>
      </c>
      <c r="AE139" s="57">
        <v>14340</v>
      </c>
      <c r="AG139" s="15"/>
      <c r="AH139" s="16"/>
      <c r="AI139" s="14"/>
      <c r="AJ139" s="15"/>
      <c r="AK139" s="15"/>
      <c r="AL139" s="15"/>
      <c r="AM139" s="15"/>
      <c r="AN139" s="15"/>
      <c r="AO139" s="15"/>
      <c r="AP139" s="15"/>
      <c r="AQ139" s="15"/>
      <c r="AR139" s="149"/>
      <c r="AS139" s="149"/>
      <c r="AT139" s="26"/>
      <c r="AU139" s="26"/>
    </row>
    <row r="140" spans="1:47" s="51" customFormat="1" ht="13.5" thickBot="1">
      <c r="A140" s="82"/>
      <c r="B140" s="169" t="s">
        <v>21</v>
      </c>
      <c r="C140" s="170"/>
      <c r="D140" s="63">
        <v>77710.399999999994</v>
      </c>
      <c r="E140" s="63">
        <v>-19848.47</v>
      </c>
      <c r="F140" s="64">
        <f>SUM(I140,M140,Q140,U140,Y140,AC140,AG140,AK140,AO140,AS140)</f>
        <v>14379</v>
      </c>
      <c r="G140" s="64">
        <v>14340</v>
      </c>
      <c r="H140" s="65"/>
      <c r="I140" s="65"/>
      <c r="J140" s="65"/>
      <c r="K140" s="66"/>
      <c r="L140" s="65"/>
      <c r="M140" s="65"/>
      <c r="N140" s="65"/>
      <c r="O140" s="65"/>
      <c r="P140" s="65"/>
      <c r="Q140" s="65"/>
      <c r="R140" s="65"/>
      <c r="S140" s="65"/>
      <c r="T140" s="65"/>
      <c r="U140" s="66">
        <v>6000</v>
      </c>
      <c r="V140" s="65"/>
      <c r="W140" s="65"/>
      <c r="X140" s="65"/>
      <c r="Y140" s="65"/>
      <c r="Z140" s="65"/>
      <c r="AA140" s="65"/>
      <c r="AB140" s="65"/>
      <c r="AC140" s="66">
        <v>8379</v>
      </c>
      <c r="AD140" s="65"/>
      <c r="AE140" s="65">
        <v>14340</v>
      </c>
      <c r="AF140" s="193"/>
      <c r="AG140" s="65"/>
      <c r="AH140" s="65"/>
      <c r="AI140" s="66"/>
      <c r="AJ140" s="65"/>
      <c r="AK140" s="65"/>
      <c r="AL140" s="65"/>
      <c r="AM140" s="65"/>
      <c r="AN140" s="65"/>
      <c r="AO140" s="65"/>
      <c r="AP140" s="65"/>
      <c r="AQ140" s="65"/>
      <c r="AR140" s="69"/>
      <c r="AS140" s="69"/>
      <c r="AT140" s="71"/>
      <c r="AU140" s="71"/>
    </row>
    <row r="141" spans="1:47" s="51" customFormat="1" ht="128.25" thickTop="1">
      <c r="A141" s="80">
        <v>43</v>
      </c>
      <c r="B141" s="143" t="s">
        <v>12</v>
      </c>
      <c r="C141" s="269">
        <v>18</v>
      </c>
      <c r="D141" s="171"/>
      <c r="E141" s="171"/>
      <c r="F141" s="106"/>
      <c r="G141" s="106"/>
      <c r="H141" s="244"/>
      <c r="I141" s="15"/>
      <c r="J141" s="16" t="s">
        <v>761</v>
      </c>
      <c r="K141" s="16">
        <v>3710</v>
      </c>
      <c r="L141" s="15"/>
      <c r="M141" s="15"/>
      <c r="N141" s="15"/>
      <c r="O141" s="15"/>
      <c r="P141" s="16" t="s">
        <v>298</v>
      </c>
      <c r="Q141" s="14">
        <v>11000</v>
      </c>
      <c r="R141" s="16" t="s">
        <v>379</v>
      </c>
      <c r="S141" s="16">
        <v>520</v>
      </c>
      <c r="T141" s="18" t="s">
        <v>498</v>
      </c>
      <c r="U141" s="14">
        <v>4500</v>
      </c>
      <c r="V141" s="16" t="s">
        <v>821</v>
      </c>
      <c r="W141" s="16" t="s">
        <v>1005</v>
      </c>
      <c r="X141" s="15"/>
      <c r="Y141" s="15"/>
      <c r="Z141" s="57"/>
      <c r="AA141" s="57"/>
      <c r="AB141" s="19" t="s">
        <v>174</v>
      </c>
      <c r="AC141" s="14">
        <v>8379</v>
      </c>
      <c r="AD141" s="16" t="s">
        <v>1004</v>
      </c>
      <c r="AE141" s="15">
        <v>6627</v>
      </c>
      <c r="AF141" s="24" t="s">
        <v>213</v>
      </c>
      <c r="AG141" s="16" t="s">
        <v>214</v>
      </c>
      <c r="AH141" s="13"/>
      <c r="AI141" s="62" t="s">
        <v>819</v>
      </c>
      <c r="AJ141" s="57"/>
      <c r="AK141" s="57"/>
      <c r="AL141" s="57"/>
      <c r="AM141" s="57"/>
      <c r="AN141" s="25"/>
      <c r="AO141" s="15"/>
      <c r="AP141" s="57" t="s">
        <v>820</v>
      </c>
      <c r="AQ141" s="16" t="s">
        <v>1002</v>
      </c>
      <c r="AR141" s="261"/>
      <c r="AS141" s="261"/>
      <c r="AT141" s="188"/>
      <c r="AU141" s="188"/>
    </row>
    <row r="142" spans="1:47" s="51" customFormat="1" ht="89.25">
      <c r="A142" s="81"/>
      <c r="B142" s="130"/>
      <c r="C142" s="267"/>
      <c r="D142" s="109"/>
      <c r="E142" s="109"/>
      <c r="F142" s="131"/>
      <c r="G142" s="131"/>
      <c r="H142" s="247"/>
      <c r="I142" s="78"/>
      <c r="J142" s="78"/>
      <c r="K142" s="78"/>
      <c r="L142" s="78"/>
      <c r="M142" s="78"/>
      <c r="N142" s="78"/>
      <c r="O142" s="78"/>
      <c r="P142" s="153"/>
      <c r="Q142" s="154"/>
      <c r="R142" s="78"/>
      <c r="S142" s="78"/>
      <c r="T142" s="18" t="s">
        <v>499</v>
      </c>
      <c r="U142" s="154">
        <v>6400</v>
      </c>
      <c r="V142" s="153"/>
      <c r="W142" s="78"/>
      <c r="X142" s="78"/>
      <c r="Y142" s="78"/>
      <c r="Z142" s="78"/>
      <c r="AA142" s="78"/>
      <c r="AB142" s="136"/>
      <c r="AC142" s="154"/>
      <c r="AD142" s="153" t="s">
        <v>1003</v>
      </c>
      <c r="AE142" s="78">
        <v>7622</v>
      </c>
      <c r="AF142" s="136"/>
      <c r="AG142" s="153"/>
      <c r="AH142" s="153" t="s">
        <v>1000</v>
      </c>
      <c r="AI142" s="154">
        <v>3687</v>
      </c>
      <c r="AJ142" s="78"/>
      <c r="AK142" s="78"/>
      <c r="AL142" s="78"/>
      <c r="AM142" s="78"/>
      <c r="AN142" s="181"/>
      <c r="AO142" s="78"/>
      <c r="AP142" s="153" t="s">
        <v>1001</v>
      </c>
      <c r="AQ142" s="153">
        <v>8741</v>
      </c>
      <c r="AR142" s="158"/>
      <c r="AS142" s="158"/>
      <c r="AT142" s="159"/>
      <c r="AU142" s="159"/>
    </row>
    <row r="143" spans="1:47" s="51" customFormat="1" ht="13.5" thickBot="1">
      <c r="A143" s="82"/>
      <c r="B143" s="138" t="s">
        <v>21</v>
      </c>
      <c r="C143" s="139"/>
      <c r="D143" s="161">
        <v>107331.2</v>
      </c>
      <c r="E143" s="161">
        <v>54504.28</v>
      </c>
      <c r="F143" s="64">
        <f>SUM(I143,M143,Q143,U143,Y143,AC143,AG143,AK143,AO143,AS143)</f>
        <v>58120</v>
      </c>
      <c r="G143" s="64">
        <v>63438</v>
      </c>
      <c r="H143" s="65"/>
      <c r="I143" s="65"/>
      <c r="J143" s="65"/>
      <c r="K143" s="65">
        <f>3710</f>
        <v>3710</v>
      </c>
      <c r="L143" s="65"/>
      <c r="M143" s="65"/>
      <c r="N143" s="65"/>
      <c r="O143" s="65"/>
      <c r="P143" s="65"/>
      <c r="Q143" s="66">
        <v>11000</v>
      </c>
      <c r="R143" s="65"/>
      <c r="S143" s="65">
        <v>520</v>
      </c>
      <c r="T143" s="65"/>
      <c r="U143" s="66">
        <v>10900</v>
      </c>
      <c r="V143" s="65"/>
      <c r="W143" s="65">
        <f>2048+880+1553</f>
        <v>4481</v>
      </c>
      <c r="X143" s="65"/>
      <c r="Y143" s="65"/>
      <c r="Z143" s="65"/>
      <c r="AA143" s="65"/>
      <c r="AB143" s="65"/>
      <c r="AC143" s="66">
        <v>8379</v>
      </c>
      <c r="AD143" s="65"/>
      <c r="AE143" s="65">
        <f>AE141+AE142</f>
        <v>14249</v>
      </c>
      <c r="AF143" s="193"/>
      <c r="AG143" s="66">
        <v>27841</v>
      </c>
      <c r="AH143" s="65"/>
      <c r="AI143" s="66">
        <f>6332+6779+3687</f>
        <v>16798</v>
      </c>
      <c r="AJ143" s="65"/>
      <c r="AK143" s="65"/>
      <c r="AL143" s="65"/>
      <c r="AM143" s="65"/>
      <c r="AN143" s="68"/>
      <c r="AO143" s="65"/>
      <c r="AP143" s="65"/>
      <c r="AQ143" s="65">
        <f>1972+4225+8742+AQ142</f>
        <v>23680</v>
      </c>
      <c r="AR143" s="69"/>
      <c r="AS143" s="69"/>
      <c r="AT143" s="71"/>
      <c r="AU143" s="71"/>
    </row>
    <row r="144" spans="1:47" s="51" customFormat="1" ht="115.5" thickTop="1">
      <c r="A144" s="80">
        <v>44</v>
      </c>
      <c r="B144" s="143" t="s">
        <v>12</v>
      </c>
      <c r="C144" s="269">
        <v>20</v>
      </c>
      <c r="D144" s="171"/>
      <c r="E144" s="171"/>
      <c r="F144" s="106"/>
      <c r="G144" s="106"/>
      <c r="H144" s="13"/>
      <c r="I144" s="15"/>
      <c r="J144" s="16" t="s">
        <v>823</v>
      </c>
      <c r="K144" s="15">
        <v>1146</v>
      </c>
      <c r="L144" s="15"/>
      <c r="M144" s="15"/>
      <c r="N144" s="15"/>
      <c r="O144" s="15"/>
      <c r="P144" s="16" t="s">
        <v>299</v>
      </c>
      <c r="Q144" s="14">
        <v>7000</v>
      </c>
      <c r="R144" s="16" t="s">
        <v>342</v>
      </c>
      <c r="S144" s="14">
        <v>5730</v>
      </c>
      <c r="T144" s="18" t="s">
        <v>498</v>
      </c>
      <c r="U144" s="14">
        <v>4500</v>
      </c>
      <c r="V144" s="13" t="s">
        <v>822</v>
      </c>
      <c r="W144" s="57">
        <v>331</v>
      </c>
      <c r="X144" s="57"/>
      <c r="Y144" s="15"/>
      <c r="Z144" s="57"/>
      <c r="AA144" s="57"/>
      <c r="AB144" s="19" t="s">
        <v>41</v>
      </c>
      <c r="AC144" s="14">
        <v>11172</v>
      </c>
      <c r="AD144" s="57"/>
      <c r="AE144" s="57"/>
      <c r="AF144" s="25" t="s">
        <v>648</v>
      </c>
      <c r="AG144" s="16" t="s">
        <v>215</v>
      </c>
      <c r="AH144" s="15"/>
      <c r="AI144" s="15">
        <v>2599</v>
      </c>
      <c r="AJ144" s="15"/>
      <c r="AK144" s="15"/>
      <c r="AL144" s="57"/>
      <c r="AM144" s="57"/>
      <c r="AN144" s="19"/>
      <c r="AO144" s="15"/>
      <c r="AP144" s="15"/>
      <c r="AQ144" s="57"/>
      <c r="AR144" s="149"/>
      <c r="AS144" s="149"/>
      <c r="AT144" s="26"/>
      <c r="AU144" s="26"/>
    </row>
    <row r="145" spans="1:47" s="51" customFormat="1" ht="114.75">
      <c r="A145" s="81"/>
      <c r="B145" s="130"/>
      <c r="C145" s="267"/>
      <c r="D145" s="109"/>
      <c r="E145" s="109"/>
      <c r="F145" s="131"/>
      <c r="G145" s="131"/>
      <c r="H145" s="153"/>
      <c r="I145" s="78"/>
      <c r="J145" s="153" t="s">
        <v>1006</v>
      </c>
      <c r="K145" s="153">
        <v>2644</v>
      </c>
      <c r="L145" s="78"/>
      <c r="M145" s="78"/>
      <c r="N145" s="78"/>
      <c r="O145" s="78"/>
      <c r="P145" s="153"/>
      <c r="Q145" s="154"/>
      <c r="R145" s="153"/>
      <c r="S145" s="154"/>
      <c r="T145" s="18" t="s">
        <v>499</v>
      </c>
      <c r="U145" s="154">
        <v>6400</v>
      </c>
      <c r="V145" s="153" t="s">
        <v>393</v>
      </c>
      <c r="W145" s="153">
        <v>5489</v>
      </c>
      <c r="X145" s="78"/>
      <c r="Y145" s="78"/>
      <c r="Z145" s="78"/>
      <c r="AA145" s="78"/>
      <c r="AB145" s="136"/>
      <c r="AC145" s="154"/>
      <c r="AD145" s="78"/>
      <c r="AE145" s="78"/>
      <c r="AF145" s="181"/>
      <c r="AG145" s="153"/>
      <c r="AH145" s="78"/>
      <c r="AI145" s="78"/>
      <c r="AJ145" s="78"/>
      <c r="AK145" s="78"/>
      <c r="AL145" s="78"/>
      <c r="AM145" s="78"/>
      <c r="AN145" s="136"/>
      <c r="AO145" s="78"/>
      <c r="AP145" s="78"/>
      <c r="AQ145" s="78"/>
      <c r="AR145" s="158"/>
      <c r="AS145" s="158"/>
      <c r="AT145" s="159"/>
      <c r="AU145" s="159"/>
    </row>
    <row r="146" spans="1:47" s="51" customFormat="1" ht="13.5" thickBot="1">
      <c r="A146" s="82"/>
      <c r="B146" s="138" t="s">
        <v>21</v>
      </c>
      <c r="C146" s="139"/>
      <c r="D146" s="140">
        <v>106585.9</v>
      </c>
      <c r="E146" s="161">
        <v>57721.89</v>
      </c>
      <c r="F146" s="64">
        <f>SUM(I146,M146,Q146,U146,Y146,AC146,AG146,AK146,AO146,AS146)</f>
        <v>73080</v>
      </c>
      <c r="G146" s="64">
        <v>17939</v>
      </c>
      <c r="H146" s="65"/>
      <c r="I146" s="65"/>
      <c r="J146" s="65"/>
      <c r="K146" s="65">
        <f>K144+K145</f>
        <v>3790</v>
      </c>
      <c r="L146" s="65"/>
      <c r="M146" s="65"/>
      <c r="N146" s="65"/>
      <c r="O146" s="65"/>
      <c r="P146" s="65"/>
      <c r="Q146" s="66">
        <v>7000</v>
      </c>
      <c r="R146" s="65"/>
      <c r="S146" s="66">
        <f>S144</f>
        <v>5730</v>
      </c>
      <c r="T146" s="65"/>
      <c r="U146" s="66">
        <v>10900</v>
      </c>
      <c r="V146" s="65"/>
      <c r="W146" s="65">
        <f>W145+W144</f>
        <v>5820</v>
      </c>
      <c r="X146" s="65"/>
      <c r="Y146" s="65"/>
      <c r="Z146" s="65"/>
      <c r="AA146" s="65"/>
      <c r="AB146" s="65"/>
      <c r="AC146" s="66">
        <v>11172</v>
      </c>
      <c r="AD146" s="65"/>
      <c r="AE146" s="65"/>
      <c r="AF146" s="67"/>
      <c r="AG146" s="66">
        <v>44008</v>
      </c>
      <c r="AH146" s="65"/>
      <c r="AI146" s="65">
        <v>2599</v>
      </c>
      <c r="AJ146" s="65"/>
      <c r="AK146" s="65"/>
      <c r="AL146" s="65"/>
      <c r="AM146" s="65"/>
      <c r="AN146" s="65"/>
      <c r="AO146" s="65"/>
      <c r="AP146" s="65"/>
      <c r="AQ146" s="65"/>
      <c r="AR146" s="69"/>
      <c r="AS146" s="69"/>
      <c r="AT146" s="71"/>
      <c r="AU146" s="71"/>
    </row>
    <row r="147" spans="1:47" s="51" customFormat="1" ht="64.5" thickTop="1">
      <c r="A147" s="80">
        <v>45</v>
      </c>
      <c r="B147" s="220" t="s">
        <v>12</v>
      </c>
      <c r="C147" s="258">
        <v>22</v>
      </c>
      <c r="D147" s="221"/>
      <c r="E147" s="221"/>
      <c r="F147" s="197"/>
      <c r="G147" s="197"/>
      <c r="H147" s="16"/>
      <c r="I147" s="15"/>
      <c r="J147" s="15"/>
      <c r="K147" s="15"/>
      <c r="L147" s="15"/>
      <c r="M147" s="15"/>
      <c r="N147" s="15"/>
      <c r="O147" s="15"/>
      <c r="P147" s="16"/>
      <c r="Q147" s="15"/>
      <c r="R147" s="15"/>
      <c r="S147" s="15"/>
      <c r="T147" s="13" t="s">
        <v>501</v>
      </c>
      <c r="U147" s="14">
        <v>7500</v>
      </c>
      <c r="V147" s="16" t="s">
        <v>825</v>
      </c>
      <c r="W147" s="14">
        <v>137</v>
      </c>
      <c r="X147" s="15"/>
      <c r="Y147" s="15"/>
      <c r="Z147" s="15"/>
      <c r="AA147" s="15"/>
      <c r="AB147" s="15"/>
      <c r="AC147" s="15"/>
      <c r="AD147" s="15"/>
      <c r="AE147" s="15"/>
      <c r="AF147" s="24" t="s">
        <v>216</v>
      </c>
      <c r="AG147" s="14">
        <v>18240</v>
      </c>
      <c r="AH147" s="16" t="s">
        <v>458</v>
      </c>
      <c r="AI147" s="16">
        <f>10809+5331</f>
        <v>16140</v>
      </c>
      <c r="AJ147" s="15"/>
      <c r="AK147" s="15"/>
      <c r="AL147" s="15"/>
      <c r="AM147" s="15"/>
      <c r="AN147" s="24"/>
      <c r="AO147" s="15"/>
      <c r="AP147" s="16" t="s">
        <v>824</v>
      </c>
      <c r="AQ147" s="13">
        <f>1389+911</f>
        <v>2300</v>
      </c>
      <c r="AR147" s="149"/>
      <c r="AS147" s="149"/>
      <c r="AT147" s="26"/>
      <c r="AU147" s="26"/>
    </row>
    <row r="148" spans="1:47" s="51" customFormat="1" ht="13.5" thickBot="1">
      <c r="A148" s="82"/>
      <c r="B148" s="169" t="s">
        <v>21</v>
      </c>
      <c r="C148" s="170"/>
      <c r="D148" s="222">
        <v>106265</v>
      </c>
      <c r="E148" s="222">
        <v>-99544.2</v>
      </c>
      <c r="F148" s="64">
        <f>SUM(I148,M148,Q148,U148,Y148,AC148,AG148,AK148,AO148,AS148)</f>
        <v>25740</v>
      </c>
      <c r="G148" s="223">
        <v>18577</v>
      </c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65"/>
      <c r="U148" s="154">
        <v>7500</v>
      </c>
      <c r="V148" s="78"/>
      <c r="W148" s="154">
        <f>W147</f>
        <v>137</v>
      </c>
      <c r="X148" s="78"/>
      <c r="Y148" s="78"/>
      <c r="Z148" s="65"/>
      <c r="AA148" s="65"/>
      <c r="AB148" s="65"/>
      <c r="AC148" s="78"/>
      <c r="AD148" s="78"/>
      <c r="AE148" s="78"/>
      <c r="AF148" s="136"/>
      <c r="AG148" s="154">
        <v>18240</v>
      </c>
      <c r="AH148" s="78"/>
      <c r="AI148" s="78">
        <v>16140</v>
      </c>
      <c r="AJ148" s="78"/>
      <c r="AK148" s="78"/>
      <c r="AL148" s="78"/>
      <c r="AM148" s="78"/>
      <c r="AN148" s="78"/>
      <c r="AO148" s="78"/>
      <c r="AP148" s="78"/>
      <c r="AQ148" s="65">
        <f>AQ147</f>
        <v>2300</v>
      </c>
      <c r="AR148" s="69"/>
      <c r="AS148" s="69"/>
      <c r="AT148" s="71"/>
      <c r="AU148" s="71"/>
    </row>
    <row r="149" spans="1:47" s="51" customFormat="1" ht="129" thickTop="1" thickBot="1">
      <c r="A149" s="80">
        <v>46</v>
      </c>
      <c r="B149" s="143" t="s">
        <v>16</v>
      </c>
      <c r="C149" s="269">
        <v>2</v>
      </c>
      <c r="D149" s="171"/>
      <c r="E149" s="171"/>
      <c r="F149" s="106"/>
      <c r="G149" s="106"/>
      <c r="H149" s="16"/>
      <c r="I149" s="15"/>
      <c r="J149" s="15"/>
      <c r="K149" s="14"/>
      <c r="L149" s="15"/>
      <c r="M149" s="15"/>
      <c r="N149" s="15"/>
      <c r="O149" s="15"/>
      <c r="P149" s="15"/>
      <c r="Q149" s="15"/>
      <c r="R149" s="16" t="s">
        <v>342</v>
      </c>
      <c r="S149" s="15">
        <v>1459</v>
      </c>
      <c r="T149" s="13" t="s">
        <v>501</v>
      </c>
      <c r="U149" s="14">
        <v>7500</v>
      </c>
      <c r="V149" s="16"/>
      <c r="W149" s="15"/>
      <c r="X149" s="15"/>
      <c r="Y149" s="15"/>
      <c r="Z149" s="57"/>
      <c r="AA149" s="57"/>
      <c r="AB149" s="19" t="s">
        <v>207</v>
      </c>
      <c r="AC149" s="14">
        <v>5586</v>
      </c>
      <c r="AD149" s="16" t="s">
        <v>410</v>
      </c>
      <c r="AE149" s="16" t="s">
        <v>826</v>
      </c>
      <c r="AF149" s="24" t="s">
        <v>231</v>
      </c>
      <c r="AG149" s="16" t="s">
        <v>232</v>
      </c>
      <c r="AH149" s="16" t="s">
        <v>411</v>
      </c>
      <c r="AI149" s="16">
        <f>2035+8329+12697</f>
        <v>23061</v>
      </c>
      <c r="AJ149" s="175"/>
      <c r="AK149" s="15"/>
      <c r="AL149" s="15"/>
      <c r="AM149" s="15"/>
      <c r="AN149" s="24"/>
      <c r="AO149" s="15"/>
      <c r="AP149" s="15"/>
      <c r="AQ149" s="57"/>
      <c r="AR149" s="149"/>
      <c r="AS149" s="149"/>
      <c r="AT149" s="26"/>
      <c r="AU149" s="26"/>
    </row>
    <row r="150" spans="1:47" s="51" customFormat="1" ht="115.5" thickTop="1">
      <c r="A150" s="81"/>
      <c r="B150" s="130"/>
      <c r="C150" s="267"/>
      <c r="D150" s="109"/>
      <c r="E150" s="109"/>
      <c r="F150" s="131"/>
      <c r="G150" s="107"/>
      <c r="H150" s="16" t="s">
        <v>133</v>
      </c>
      <c r="I150" s="78"/>
      <c r="J150" s="153" t="s">
        <v>482</v>
      </c>
      <c r="K150" s="154">
        <v>5033</v>
      </c>
      <c r="L150" s="78"/>
      <c r="M150" s="78"/>
      <c r="N150" s="78"/>
      <c r="O150" s="78"/>
      <c r="P150" s="78"/>
      <c r="Q150" s="78"/>
      <c r="R150" s="78"/>
      <c r="S150" s="78"/>
      <c r="T150" s="18" t="s">
        <v>511</v>
      </c>
      <c r="U150" s="154">
        <v>9600</v>
      </c>
      <c r="V150" s="153"/>
      <c r="W150" s="78"/>
      <c r="X150" s="57"/>
      <c r="Y150" s="78"/>
      <c r="Z150" s="78"/>
      <c r="AA150" s="78"/>
      <c r="AB150" s="78"/>
      <c r="AC150" s="78"/>
      <c r="AD150" s="78"/>
      <c r="AE150" s="78"/>
      <c r="AF150" s="25" t="s">
        <v>296</v>
      </c>
      <c r="AG150" s="153" t="s">
        <v>297</v>
      </c>
      <c r="AH150" s="153" t="s">
        <v>461</v>
      </c>
      <c r="AI150" s="153">
        <f>4240+24084</f>
        <v>28324</v>
      </c>
      <c r="AJ150" s="78"/>
      <c r="AK150" s="78"/>
      <c r="AL150" s="78"/>
      <c r="AM150" s="78"/>
      <c r="AN150" s="25"/>
      <c r="AO150" s="78"/>
      <c r="AP150" s="78"/>
      <c r="AQ150" s="78"/>
      <c r="AR150" s="22"/>
      <c r="AS150" s="22"/>
      <c r="AT150" s="50"/>
      <c r="AU150" s="50"/>
    </row>
    <row r="151" spans="1:47" s="51" customFormat="1" ht="13.5" thickBot="1">
      <c r="A151" s="82"/>
      <c r="B151" s="169" t="s">
        <v>21</v>
      </c>
      <c r="C151" s="170"/>
      <c r="D151" s="63">
        <v>79124.800000000003</v>
      </c>
      <c r="E151" s="63">
        <v>-2928.78</v>
      </c>
      <c r="F151" s="64">
        <f>SUM(I151,M151,Q151,U151,Y151,AC151,AG151,AK151,AO151,AS151)</f>
        <v>41840</v>
      </c>
      <c r="G151" s="64">
        <v>72140</v>
      </c>
      <c r="H151" s="65"/>
      <c r="I151" s="65"/>
      <c r="J151" s="65"/>
      <c r="K151" s="66">
        <f>K150</f>
        <v>5033</v>
      </c>
      <c r="L151" s="65"/>
      <c r="M151" s="65"/>
      <c r="N151" s="65"/>
      <c r="O151" s="65"/>
      <c r="P151" s="65"/>
      <c r="Q151" s="65"/>
      <c r="R151" s="65"/>
      <c r="S151" s="65">
        <f>S149</f>
        <v>1459</v>
      </c>
      <c r="T151" s="65"/>
      <c r="U151" s="66">
        <v>17100</v>
      </c>
      <c r="V151" s="65"/>
      <c r="W151" s="66"/>
      <c r="X151" s="65"/>
      <c r="Y151" s="65"/>
      <c r="Z151" s="65"/>
      <c r="AA151" s="65"/>
      <c r="AB151" s="65"/>
      <c r="AC151" s="66">
        <v>5586</v>
      </c>
      <c r="AD151" s="65"/>
      <c r="AE151" s="65">
        <f>2656+11607</f>
        <v>14263</v>
      </c>
      <c r="AF151" s="67"/>
      <c r="AG151" s="66">
        <v>19154</v>
      </c>
      <c r="AH151" s="65"/>
      <c r="AI151" s="65">
        <f>AI149+AI150</f>
        <v>51385</v>
      </c>
      <c r="AJ151" s="65"/>
      <c r="AK151" s="65"/>
      <c r="AL151" s="65"/>
      <c r="AM151" s="65"/>
      <c r="AN151" s="65"/>
      <c r="AO151" s="65"/>
      <c r="AP151" s="65"/>
      <c r="AQ151" s="65"/>
      <c r="AR151" s="69"/>
      <c r="AS151" s="69"/>
      <c r="AT151" s="71"/>
      <c r="AU151" s="71"/>
    </row>
    <row r="152" spans="1:47" s="51" customFormat="1" ht="77.25" thickTop="1">
      <c r="A152" s="80">
        <v>47</v>
      </c>
      <c r="B152" s="143" t="s">
        <v>13</v>
      </c>
      <c r="C152" s="269">
        <v>4</v>
      </c>
      <c r="D152" s="171"/>
      <c r="E152" s="171"/>
      <c r="F152" s="106"/>
      <c r="G152" s="106"/>
      <c r="H152" s="244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3" t="s">
        <v>507</v>
      </c>
      <c r="U152" s="14">
        <v>2000</v>
      </c>
      <c r="V152" s="57"/>
      <c r="W152" s="57"/>
      <c r="X152" s="13"/>
      <c r="Y152" s="15"/>
      <c r="Z152" s="15"/>
      <c r="AA152" s="15"/>
      <c r="AB152" s="24" t="s">
        <v>217</v>
      </c>
      <c r="AC152" s="14">
        <v>2793</v>
      </c>
      <c r="AD152" s="15"/>
      <c r="AE152" s="15"/>
      <c r="AF152" s="24" t="s">
        <v>611</v>
      </c>
      <c r="AG152" s="16" t="s">
        <v>218</v>
      </c>
      <c r="AH152" s="16" t="s">
        <v>612</v>
      </c>
      <c r="AI152" s="20" t="s">
        <v>827</v>
      </c>
      <c r="AJ152" s="175"/>
      <c r="AK152" s="57"/>
      <c r="AL152" s="57"/>
      <c r="AM152" s="57"/>
      <c r="AN152" s="25"/>
      <c r="AO152" s="15"/>
      <c r="AP152" s="15"/>
      <c r="AQ152" s="57"/>
      <c r="AR152" s="149"/>
      <c r="AS152" s="149"/>
      <c r="AT152" s="26"/>
      <c r="AU152" s="26"/>
    </row>
    <row r="153" spans="1:47" s="51" customFormat="1" ht="89.25">
      <c r="A153" s="81"/>
      <c r="B153" s="184"/>
      <c r="C153" s="266"/>
      <c r="D153" s="108"/>
      <c r="E153" s="108"/>
      <c r="F153" s="110"/>
      <c r="G153" s="110"/>
      <c r="H153" s="126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8" t="s">
        <v>494</v>
      </c>
      <c r="U153" s="127">
        <v>3200</v>
      </c>
      <c r="V153" s="125"/>
      <c r="W153" s="125"/>
      <c r="X153" s="18"/>
      <c r="Y153" s="125"/>
      <c r="Z153" s="125"/>
      <c r="AA153" s="125"/>
      <c r="AB153" s="253"/>
      <c r="AC153" s="127"/>
      <c r="AD153" s="125"/>
      <c r="AE153" s="125"/>
      <c r="AF153" s="25"/>
      <c r="AG153" s="18"/>
      <c r="AH153" s="18"/>
      <c r="AI153" s="217"/>
      <c r="AJ153" s="231"/>
      <c r="AK153" s="125"/>
      <c r="AL153" s="125"/>
      <c r="AM153" s="125"/>
      <c r="AN153" s="25"/>
      <c r="AO153" s="125"/>
      <c r="AP153" s="125"/>
      <c r="AQ153" s="125"/>
      <c r="AR153" s="22"/>
      <c r="AS153" s="22"/>
      <c r="AT153" s="50"/>
      <c r="AU153" s="50"/>
    </row>
    <row r="154" spans="1:47" s="51" customFormat="1" ht="127.5">
      <c r="A154" s="81"/>
      <c r="B154" s="130"/>
      <c r="C154" s="267"/>
      <c r="D154" s="109"/>
      <c r="E154" s="109"/>
      <c r="F154" s="131"/>
      <c r="G154" s="131"/>
      <c r="H154" s="247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18" t="s">
        <v>596</v>
      </c>
      <c r="U154" s="154">
        <v>6500</v>
      </c>
      <c r="V154" s="78"/>
      <c r="W154" s="78"/>
      <c r="X154" s="153"/>
      <c r="Y154" s="78"/>
      <c r="Z154" s="78"/>
      <c r="AA154" s="78"/>
      <c r="AB154" s="250"/>
      <c r="AC154" s="154"/>
      <c r="AD154" s="78"/>
      <c r="AE154" s="78"/>
      <c r="AF154" s="136"/>
      <c r="AG154" s="153"/>
      <c r="AH154" s="153"/>
      <c r="AI154" s="201"/>
      <c r="AJ154" s="155"/>
      <c r="AK154" s="78"/>
      <c r="AL154" s="78"/>
      <c r="AM154" s="78"/>
      <c r="AN154" s="136"/>
      <c r="AO154" s="78"/>
      <c r="AP154" s="78"/>
      <c r="AQ154" s="78"/>
      <c r="AR154" s="158"/>
      <c r="AS154" s="158"/>
      <c r="AT154" s="159"/>
      <c r="AU154" s="159"/>
    </row>
    <row r="155" spans="1:47" s="51" customFormat="1" ht="13.5" thickBot="1">
      <c r="A155" s="82"/>
      <c r="B155" s="169" t="s">
        <v>21</v>
      </c>
      <c r="C155" s="170"/>
      <c r="D155" s="63">
        <v>22478.080000000002</v>
      </c>
      <c r="E155" s="63">
        <v>-16649.84</v>
      </c>
      <c r="F155" s="172">
        <f>SUM(I155,M155,Q155,U155,Y155,AC155,AG155,AK155,AO155,AS155)</f>
        <v>27304</v>
      </c>
      <c r="G155" s="141">
        <v>5630</v>
      </c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6">
        <v>11700</v>
      </c>
      <c r="V155" s="65"/>
      <c r="W155" s="65"/>
      <c r="X155" s="65"/>
      <c r="Y155" s="65"/>
      <c r="Z155" s="65"/>
      <c r="AA155" s="65"/>
      <c r="AB155" s="65"/>
      <c r="AC155" s="66">
        <v>2793</v>
      </c>
      <c r="AD155" s="65"/>
      <c r="AE155" s="65"/>
      <c r="AF155" s="67"/>
      <c r="AG155" s="66">
        <v>12811</v>
      </c>
      <c r="AH155" s="65"/>
      <c r="AI155" s="66">
        <f>4686+944</f>
        <v>5630</v>
      </c>
      <c r="AJ155" s="65"/>
      <c r="AK155" s="65"/>
      <c r="AL155" s="65"/>
      <c r="AM155" s="65"/>
      <c r="AN155" s="68"/>
      <c r="AO155" s="65"/>
      <c r="AP155" s="65"/>
      <c r="AQ155" s="65"/>
      <c r="AR155" s="69"/>
      <c r="AS155" s="69"/>
      <c r="AT155" s="71"/>
      <c r="AU155" s="71"/>
    </row>
    <row r="156" spans="1:47" s="51" customFormat="1" ht="102.75" thickTop="1">
      <c r="A156" s="80">
        <v>48</v>
      </c>
      <c r="B156" s="143" t="s">
        <v>13</v>
      </c>
      <c r="C156" s="269">
        <v>6</v>
      </c>
      <c r="D156" s="171"/>
      <c r="E156" s="171"/>
      <c r="F156" s="106"/>
      <c r="G156" s="106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6" t="s">
        <v>342</v>
      </c>
      <c r="S156" s="15">
        <v>2355</v>
      </c>
      <c r="T156" s="13" t="s">
        <v>507</v>
      </c>
      <c r="U156" s="14">
        <v>2000</v>
      </c>
      <c r="V156" s="15"/>
      <c r="W156" s="15"/>
      <c r="X156" s="15"/>
      <c r="Y156" s="15"/>
      <c r="Z156" s="15"/>
      <c r="AA156" s="15"/>
      <c r="AB156" s="198" t="s">
        <v>219</v>
      </c>
      <c r="AC156" s="14">
        <v>3724</v>
      </c>
      <c r="AD156" s="15" t="s">
        <v>390</v>
      </c>
      <c r="AE156" s="15">
        <v>21676</v>
      </c>
      <c r="AF156" s="24" t="s">
        <v>220</v>
      </c>
      <c r="AG156" s="16" t="s">
        <v>221</v>
      </c>
      <c r="AH156" s="16"/>
      <c r="AI156" s="14"/>
      <c r="AJ156" s="175"/>
      <c r="AK156" s="15"/>
      <c r="AL156" s="57"/>
      <c r="AM156" s="57"/>
      <c r="AN156" s="25"/>
      <c r="AO156" s="15"/>
      <c r="AP156" s="15"/>
      <c r="AQ156" s="57"/>
      <c r="AR156" s="149"/>
      <c r="AS156" s="149"/>
      <c r="AT156" s="26"/>
      <c r="AU156" s="26"/>
    </row>
    <row r="157" spans="1:47" s="51" customFormat="1" ht="89.25">
      <c r="A157" s="81"/>
      <c r="B157" s="130"/>
      <c r="C157" s="267"/>
      <c r="D157" s="109"/>
      <c r="E157" s="109"/>
      <c r="F157" s="131"/>
      <c r="G157" s="131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18" t="s">
        <v>494</v>
      </c>
      <c r="U157" s="154">
        <v>3200</v>
      </c>
      <c r="V157" s="78"/>
      <c r="W157" s="78"/>
      <c r="X157" s="78"/>
      <c r="Y157" s="78"/>
      <c r="Z157" s="78"/>
      <c r="AA157" s="78"/>
      <c r="AB157" s="250"/>
      <c r="AC157" s="154"/>
      <c r="AD157" s="78"/>
      <c r="AE157" s="78"/>
      <c r="AF157" s="136"/>
      <c r="AG157" s="153"/>
      <c r="AH157" s="153"/>
      <c r="AI157" s="154"/>
      <c r="AJ157" s="155"/>
      <c r="AK157" s="78"/>
      <c r="AL157" s="78"/>
      <c r="AM157" s="78"/>
      <c r="AN157" s="181"/>
      <c r="AO157" s="78"/>
      <c r="AP157" s="78"/>
      <c r="AQ157" s="78"/>
      <c r="AR157" s="158"/>
      <c r="AS157" s="158"/>
      <c r="AT157" s="159"/>
      <c r="AU157" s="159"/>
    </row>
    <row r="158" spans="1:47" s="51" customFormat="1" ht="13.5" thickBot="1">
      <c r="A158" s="82"/>
      <c r="B158" s="138" t="s">
        <v>21</v>
      </c>
      <c r="C158" s="139"/>
      <c r="D158" s="140">
        <v>23370.240000000002</v>
      </c>
      <c r="E158" s="161">
        <v>2339.04</v>
      </c>
      <c r="F158" s="64">
        <f>SUM(I158,M158,Q158,U158,Y158,AC158,AG158,AK158,AO158,AS158)</f>
        <v>22726</v>
      </c>
      <c r="G158" s="64">
        <v>24031</v>
      </c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>
        <f>S156</f>
        <v>2355</v>
      </c>
      <c r="T158" s="65"/>
      <c r="U158" s="66">
        <v>5200</v>
      </c>
      <c r="V158" s="65"/>
      <c r="W158" s="65"/>
      <c r="X158" s="65"/>
      <c r="Y158" s="65"/>
      <c r="Z158" s="65"/>
      <c r="AA158" s="65"/>
      <c r="AB158" s="65"/>
      <c r="AC158" s="66">
        <v>3724</v>
      </c>
      <c r="AD158" s="65"/>
      <c r="AE158" s="65">
        <f>AE156</f>
        <v>21676</v>
      </c>
      <c r="AF158" s="67"/>
      <c r="AG158" s="66">
        <v>13802</v>
      </c>
      <c r="AH158" s="65"/>
      <c r="AI158" s="66"/>
      <c r="AJ158" s="65"/>
      <c r="AK158" s="65"/>
      <c r="AL158" s="65"/>
      <c r="AM158" s="65"/>
      <c r="AN158" s="65"/>
      <c r="AO158" s="65"/>
      <c r="AP158" s="65"/>
      <c r="AQ158" s="65"/>
      <c r="AR158" s="69"/>
      <c r="AS158" s="69"/>
      <c r="AT158" s="71"/>
      <c r="AU158" s="71"/>
    </row>
    <row r="159" spans="1:47" s="51" customFormat="1" ht="90" thickTop="1">
      <c r="A159" s="80">
        <v>49</v>
      </c>
      <c r="B159" s="143" t="s">
        <v>13</v>
      </c>
      <c r="C159" s="269">
        <v>8</v>
      </c>
      <c r="D159" s="171"/>
      <c r="E159" s="171"/>
      <c r="F159" s="106"/>
      <c r="G159" s="106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13" t="s">
        <v>342</v>
      </c>
      <c r="S159" s="57">
        <v>1030</v>
      </c>
      <c r="T159" s="13" t="s">
        <v>507</v>
      </c>
      <c r="U159" s="21">
        <v>2000</v>
      </c>
      <c r="V159" s="57"/>
      <c r="W159" s="57"/>
      <c r="X159" s="57"/>
      <c r="Y159" s="57"/>
      <c r="Z159" s="57"/>
      <c r="AA159" s="57"/>
      <c r="AB159" s="19" t="s">
        <v>222</v>
      </c>
      <c r="AC159" s="21">
        <v>4655</v>
      </c>
      <c r="AD159" s="57"/>
      <c r="AE159" s="57"/>
      <c r="AF159" s="19" t="s">
        <v>317</v>
      </c>
      <c r="AG159" s="13" t="s">
        <v>223</v>
      </c>
      <c r="AH159" s="13" t="s">
        <v>433</v>
      </c>
      <c r="AI159" s="13">
        <f>2497+5232+36462</f>
        <v>44191</v>
      </c>
      <c r="AJ159" s="57"/>
      <c r="AK159" s="57"/>
      <c r="AL159" s="57"/>
      <c r="AM159" s="57"/>
      <c r="AN159" s="57"/>
      <c r="AO159" s="57"/>
      <c r="AP159" s="57"/>
      <c r="AQ159" s="57"/>
      <c r="AR159" s="149"/>
      <c r="AS159" s="149"/>
      <c r="AT159" s="26"/>
      <c r="AU159" s="26"/>
    </row>
    <row r="160" spans="1:47" s="51" customFormat="1" ht="89.25">
      <c r="A160" s="81"/>
      <c r="B160" s="130"/>
      <c r="C160" s="267"/>
      <c r="D160" s="109"/>
      <c r="E160" s="109"/>
      <c r="F160" s="131"/>
      <c r="G160" s="131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8" t="s">
        <v>494</v>
      </c>
      <c r="U160" s="127">
        <v>3200</v>
      </c>
      <c r="V160" s="125"/>
      <c r="W160" s="125"/>
      <c r="X160" s="125"/>
      <c r="Y160" s="125"/>
      <c r="Z160" s="125"/>
      <c r="AA160" s="125"/>
      <c r="AB160" s="25"/>
      <c r="AC160" s="127"/>
      <c r="AD160" s="125"/>
      <c r="AE160" s="125"/>
      <c r="AF160" s="25"/>
      <c r="AG160" s="18"/>
      <c r="AH160" s="18" t="s">
        <v>462</v>
      </c>
      <c r="AI160" s="18">
        <v>2309</v>
      </c>
      <c r="AJ160" s="125"/>
      <c r="AK160" s="125"/>
      <c r="AL160" s="125"/>
      <c r="AM160" s="125"/>
      <c r="AN160" s="125"/>
      <c r="AO160" s="125"/>
      <c r="AP160" s="18" t="s">
        <v>512</v>
      </c>
      <c r="AQ160" s="125">
        <v>9070</v>
      </c>
      <c r="AR160" s="22"/>
      <c r="AS160" s="22"/>
      <c r="AT160" s="50"/>
      <c r="AU160" s="50"/>
    </row>
    <row r="161" spans="1:47" s="51" customFormat="1" ht="13.5" thickBot="1">
      <c r="A161" s="82"/>
      <c r="B161" s="169" t="s">
        <v>21</v>
      </c>
      <c r="C161" s="170"/>
      <c r="D161" s="222">
        <v>22880.639999999999</v>
      </c>
      <c r="E161" s="222">
        <v>7027.93</v>
      </c>
      <c r="F161" s="64">
        <f>SUM(I161,M161,Q161,U161,Y161,AC161,AG161,AK161,AO161,AS161)</f>
        <v>19768</v>
      </c>
      <c r="G161" s="64">
        <v>56600</v>
      </c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>
        <f>S159</f>
        <v>1030</v>
      </c>
      <c r="T161" s="65"/>
      <c r="U161" s="154">
        <v>5200</v>
      </c>
      <c r="V161" s="78"/>
      <c r="W161" s="78"/>
      <c r="X161" s="205"/>
      <c r="Y161" s="78"/>
      <c r="Z161" s="78"/>
      <c r="AA161" s="78"/>
      <c r="AB161" s="205"/>
      <c r="AC161" s="206">
        <v>4655</v>
      </c>
      <c r="AD161" s="205"/>
      <c r="AE161" s="205"/>
      <c r="AF161" s="237"/>
      <c r="AG161" s="206">
        <v>9913</v>
      </c>
      <c r="AH161" s="205"/>
      <c r="AI161" s="206">
        <f>AI160+AI159</f>
        <v>46500</v>
      </c>
      <c r="AJ161" s="205"/>
      <c r="AK161" s="205"/>
      <c r="AL161" s="205"/>
      <c r="AM161" s="205"/>
      <c r="AN161" s="205"/>
      <c r="AO161" s="78"/>
      <c r="AP161" s="205"/>
      <c r="AQ161" s="205">
        <f>AQ160</f>
        <v>9070</v>
      </c>
      <c r="AR161" s="239"/>
      <c r="AS161" s="239"/>
      <c r="AT161" s="240"/>
      <c r="AU161" s="240"/>
    </row>
    <row r="162" spans="1:47" s="51" customFormat="1" ht="64.5" thickTop="1">
      <c r="A162" s="80">
        <v>50</v>
      </c>
      <c r="B162" s="143" t="s">
        <v>16</v>
      </c>
      <c r="C162" s="269">
        <v>10</v>
      </c>
      <c r="D162" s="171"/>
      <c r="E162" s="171"/>
      <c r="F162" s="106"/>
      <c r="G162" s="106"/>
      <c r="H162" s="244"/>
      <c r="I162" s="15"/>
      <c r="J162" s="15"/>
      <c r="K162" s="15"/>
      <c r="L162" s="15"/>
      <c r="M162" s="15"/>
      <c r="N162" s="15"/>
      <c r="O162" s="15"/>
      <c r="P162" s="15"/>
      <c r="Q162" s="15"/>
      <c r="R162" s="16" t="s">
        <v>342</v>
      </c>
      <c r="S162" s="14">
        <v>2356</v>
      </c>
      <c r="T162" s="18" t="s">
        <v>498</v>
      </c>
      <c r="U162" s="14">
        <v>4500</v>
      </c>
      <c r="V162" s="15"/>
      <c r="W162" s="15"/>
      <c r="X162" s="18" t="s">
        <v>509</v>
      </c>
      <c r="Y162" s="14">
        <v>10000</v>
      </c>
      <c r="Z162" s="15"/>
      <c r="AA162" s="15"/>
      <c r="AB162" s="24" t="s">
        <v>174</v>
      </c>
      <c r="AC162" s="14">
        <v>8379</v>
      </c>
      <c r="AD162" s="16" t="s">
        <v>828</v>
      </c>
      <c r="AE162" s="15">
        <v>4000</v>
      </c>
      <c r="AF162" s="24" t="s">
        <v>651</v>
      </c>
      <c r="AG162" s="16" t="s">
        <v>280</v>
      </c>
      <c r="AH162" s="15"/>
      <c r="AI162" s="15"/>
      <c r="AJ162" s="175"/>
      <c r="AK162" s="15"/>
      <c r="AL162" s="15"/>
      <c r="AM162" s="15"/>
      <c r="AN162" s="24"/>
      <c r="AO162" s="15"/>
      <c r="AP162" s="15" t="s">
        <v>794</v>
      </c>
      <c r="AQ162" s="57">
        <v>1454</v>
      </c>
      <c r="AR162" s="149"/>
      <c r="AS162" s="149"/>
      <c r="AT162" s="26"/>
      <c r="AU162" s="26"/>
    </row>
    <row r="163" spans="1:47" s="51" customFormat="1" ht="89.25">
      <c r="A163" s="81"/>
      <c r="B163" s="130"/>
      <c r="C163" s="267"/>
      <c r="D163" s="109"/>
      <c r="E163" s="109"/>
      <c r="F163" s="131"/>
      <c r="G163" s="131"/>
      <c r="H163" s="126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7"/>
      <c r="T163" s="18" t="s">
        <v>499</v>
      </c>
      <c r="U163" s="127">
        <v>6400</v>
      </c>
      <c r="V163" s="125"/>
      <c r="W163" s="125"/>
      <c r="X163" s="18"/>
      <c r="Y163" s="127"/>
      <c r="Z163" s="125"/>
      <c r="AA163" s="125"/>
      <c r="AB163" s="25"/>
      <c r="AC163" s="127"/>
      <c r="AD163" s="125"/>
      <c r="AE163" s="125"/>
      <c r="AF163" s="25" t="s">
        <v>278</v>
      </c>
      <c r="AG163" s="18" t="s">
        <v>279</v>
      </c>
      <c r="AH163" s="125"/>
      <c r="AI163" s="125"/>
      <c r="AJ163" s="231"/>
      <c r="AK163" s="125"/>
      <c r="AL163" s="125"/>
      <c r="AM163" s="125"/>
      <c r="AN163" s="25"/>
      <c r="AO163" s="125"/>
      <c r="AP163" s="125"/>
      <c r="AQ163" s="125"/>
      <c r="AR163" s="22"/>
      <c r="AS163" s="22"/>
      <c r="AT163" s="50"/>
      <c r="AU163" s="50"/>
    </row>
    <row r="164" spans="1:47" s="51" customFormat="1" ht="13.5" thickBot="1">
      <c r="A164" s="82"/>
      <c r="B164" s="169" t="s">
        <v>21</v>
      </c>
      <c r="C164" s="170"/>
      <c r="D164" s="63">
        <v>110704</v>
      </c>
      <c r="E164" s="63">
        <v>70733.62</v>
      </c>
      <c r="F164" s="172">
        <f>SUM(I164,M164,Q164,U164,Y164,AC164,AG164,AK164,AO164,AS164)</f>
        <v>88610</v>
      </c>
      <c r="G164" s="172">
        <v>7810</v>
      </c>
      <c r="H164" s="205"/>
      <c r="I164" s="205"/>
      <c r="J164" s="205"/>
      <c r="K164" s="205"/>
      <c r="L164" s="205"/>
      <c r="M164" s="205"/>
      <c r="N164" s="205"/>
      <c r="O164" s="205"/>
      <c r="P164" s="205"/>
      <c r="Q164" s="205"/>
      <c r="R164" s="205"/>
      <c r="S164" s="206">
        <f>S162</f>
        <v>2356</v>
      </c>
      <c r="T164" s="205"/>
      <c r="U164" s="206">
        <v>10900</v>
      </c>
      <c r="V164" s="205"/>
      <c r="W164" s="205"/>
      <c r="X164" s="205"/>
      <c r="Y164" s="206">
        <v>10000</v>
      </c>
      <c r="Z164" s="205"/>
      <c r="AA164" s="205"/>
      <c r="AB164" s="205"/>
      <c r="AC164" s="206">
        <v>8379</v>
      </c>
      <c r="AD164" s="205"/>
      <c r="AE164" s="205">
        <v>4000</v>
      </c>
      <c r="AF164" s="237"/>
      <c r="AG164" s="206">
        <v>59331</v>
      </c>
      <c r="AH164" s="205"/>
      <c r="AI164" s="205"/>
      <c r="AJ164" s="205"/>
      <c r="AK164" s="205"/>
      <c r="AL164" s="205"/>
      <c r="AM164" s="205"/>
      <c r="AN164" s="205"/>
      <c r="AO164" s="205"/>
      <c r="AP164" s="205"/>
      <c r="AQ164" s="205">
        <f>AQ162</f>
        <v>1454</v>
      </c>
      <c r="AR164" s="239"/>
      <c r="AS164" s="239"/>
      <c r="AT164" s="240"/>
      <c r="AU164" s="240"/>
    </row>
    <row r="165" spans="1:47" s="51" customFormat="1" ht="102.75" thickTop="1">
      <c r="A165" s="81">
        <v>51</v>
      </c>
      <c r="B165" s="143" t="s">
        <v>16</v>
      </c>
      <c r="C165" s="269">
        <v>12</v>
      </c>
      <c r="D165" s="171"/>
      <c r="E165" s="171"/>
      <c r="F165" s="106"/>
      <c r="G165" s="106"/>
      <c r="H165" s="270" t="s">
        <v>132</v>
      </c>
      <c r="I165" s="154">
        <v>1300</v>
      </c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13" t="s">
        <v>508</v>
      </c>
      <c r="U165" s="154">
        <v>3000</v>
      </c>
      <c r="V165" s="78"/>
      <c r="W165" s="78"/>
      <c r="X165" s="153"/>
      <c r="Y165" s="78"/>
      <c r="Z165" s="78"/>
      <c r="AA165" s="78"/>
      <c r="AB165" s="136" t="s">
        <v>224</v>
      </c>
      <c r="AC165" s="154">
        <v>6517</v>
      </c>
      <c r="AD165" s="78"/>
      <c r="AE165" s="78"/>
      <c r="AF165" s="136" t="s">
        <v>319</v>
      </c>
      <c r="AG165" s="153" t="s">
        <v>320</v>
      </c>
      <c r="AH165" s="153" t="s">
        <v>417</v>
      </c>
      <c r="AI165" s="153">
        <f>15405+12985+11915</f>
        <v>40305</v>
      </c>
      <c r="AJ165" s="155"/>
      <c r="AK165" s="78"/>
      <c r="AL165" s="78"/>
      <c r="AM165" s="154"/>
      <c r="AN165" s="78"/>
      <c r="AO165" s="78"/>
      <c r="AP165" s="78"/>
      <c r="AQ165" s="78"/>
      <c r="AR165" s="158"/>
      <c r="AS165" s="158"/>
      <c r="AT165" s="159"/>
      <c r="AU165" s="159"/>
    </row>
    <row r="166" spans="1:47" s="51" customFormat="1" ht="102">
      <c r="A166" s="81"/>
      <c r="B166" s="130"/>
      <c r="C166" s="267"/>
      <c r="D166" s="109"/>
      <c r="E166" s="109"/>
      <c r="F166" s="131"/>
      <c r="G166" s="131"/>
      <c r="H166" s="18"/>
      <c r="I166" s="127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34" t="s">
        <v>499</v>
      </c>
      <c r="U166" s="127">
        <v>6400</v>
      </c>
      <c r="V166" s="125"/>
      <c r="W166" s="125"/>
      <c r="X166" s="18"/>
      <c r="Y166" s="125"/>
      <c r="Z166" s="125"/>
      <c r="AA166" s="125"/>
      <c r="AB166" s="25"/>
      <c r="AC166" s="127"/>
      <c r="AD166" s="125"/>
      <c r="AE166" s="125"/>
      <c r="AF166" s="25"/>
      <c r="AG166" s="18"/>
      <c r="AH166" s="18" t="s">
        <v>517</v>
      </c>
      <c r="AI166" s="18">
        <f>12119+9620</f>
        <v>21739</v>
      </c>
      <c r="AJ166" s="231"/>
      <c r="AK166" s="125"/>
      <c r="AL166" s="125"/>
      <c r="AM166" s="127"/>
      <c r="AN166" s="125"/>
      <c r="AO166" s="125"/>
      <c r="AP166" s="125"/>
      <c r="AQ166" s="125"/>
      <c r="AR166" s="22"/>
      <c r="AS166" s="22"/>
      <c r="AT166" s="50"/>
      <c r="AU166" s="50"/>
    </row>
    <row r="167" spans="1:47" s="51" customFormat="1" ht="13.5" thickBot="1">
      <c r="A167" s="82"/>
      <c r="B167" s="169" t="s">
        <v>21</v>
      </c>
      <c r="C167" s="170"/>
      <c r="D167" s="63">
        <v>35496</v>
      </c>
      <c r="E167" s="63">
        <v>-14472.67</v>
      </c>
      <c r="F167" s="172">
        <f>SUM(I167,M167,Q167,U167,Y167,AC167,AG167,AK167,AO167,AS167)</f>
        <v>35395</v>
      </c>
      <c r="G167" s="172">
        <v>62044</v>
      </c>
      <c r="H167" s="205"/>
      <c r="I167" s="206">
        <v>1300</v>
      </c>
      <c r="J167" s="205"/>
      <c r="K167" s="205"/>
      <c r="L167" s="205"/>
      <c r="M167" s="205"/>
      <c r="N167" s="205"/>
      <c r="O167" s="205"/>
      <c r="P167" s="205"/>
      <c r="Q167" s="205"/>
      <c r="R167" s="205"/>
      <c r="S167" s="205"/>
      <c r="T167" s="205"/>
      <c r="U167" s="206">
        <v>9400</v>
      </c>
      <c r="V167" s="205"/>
      <c r="W167" s="205"/>
      <c r="X167" s="205"/>
      <c r="Y167" s="205"/>
      <c r="Z167" s="205"/>
      <c r="AA167" s="205"/>
      <c r="AB167" s="205"/>
      <c r="AC167" s="206">
        <v>6517</v>
      </c>
      <c r="AD167" s="205"/>
      <c r="AE167" s="205"/>
      <c r="AF167" s="237"/>
      <c r="AG167" s="206">
        <v>18178</v>
      </c>
      <c r="AH167" s="205"/>
      <c r="AI167" s="205">
        <f>AI165+AI166</f>
        <v>62044</v>
      </c>
      <c r="AJ167" s="205"/>
      <c r="AK167" s="205"/>
      <c r="AL167" s="205"/>
      <c r="AM167" s="206"/>
      <c r="AN167" s="205"/>
      <c r="AO167" s="205"/>
      <c r="AP167" s="205"/>
      <c r="AQ167" s="205"/>
      <c r="AR167" s="239"/>
      <c r="AS167" s="239"/>
      <c r="AT167" s="240"/>
      <c r="AU167" s="240"/>
    </row>
    <row r="168" spans="1:47" s="51" customFormat="1" ht="64.5" thickTop="1">
      <c r="A168" s="80">
        <v>52</v>
      </c>
      <c r="B168" s="143" t="s">
        <v>13</v>
      </c>
      <c r="C168" s="269">
        <v>14</v>
      </c>
      <c r="D168" s="171"/>
      <c r="E168" s="171"/>
      <c r="F168" s="106"/>
      <c r="G168" s="106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3" t="s">
        <v>501</v>
      </c>
      <c r="U168" s="14">
        <v>7500</v>
      </c>
      <c r="V168" s="16" t="s">
        <v>830</v>
      </c>
      <c r="W168" s="16" t="s">
        <v>831</v>
      </c>
      <c r="X168" s="15"/>
      <c r="Y168" s="15"/>
      <c r="Z168" s="57"/>
      <c r="AA168" s="57"/>
      <c r="AB168" s="19" t="s">
        <v>41</v>
      </c>
      <c r="AC168" s="14">
        <v>11172</v>
      </c>
      <c r="AD168" s="15"/>
      <c r="AE168" s="15"/>
      <c r="AF168" s="24" t="s">
        <v>625</v>
      </c>
      <c r="AG168" s="16" t="s">
        <v>225</v>
      </c>
      <c r="AH168" s="13" t="s">
        <v>380</v>
      </c>
      <c r="AI168" s="62">
        <f>945+15405</f>
        <v>16350</v>
      </c>
      <c r="AJ168" s="147"/>
      <c r="AK168" s="15"/>
      <c r="AL168" s="15"/>
      <c r="AM168" s="14"/>
      <c r="AN168" s="24"/>
      <c r="AO168" s="15"/>
      <c r="AP168" s="57" t="s">
        <v>794</v>
      </c>
      <c r="AQ168" s="57">
        <v>900</v>
      </c>
      <c r="AR168" s="149"/>
      <c r="AS168" s="149"/>
      <c r="AT168" s="26"/>
      <c r="AU168" s="26"/>
    </row>
    <row r="169" spans="1:47" s="51" customFormat="1" ht="127.5">
      <c r="A169" s="81"/>
      <c r="B169" s="130"/>
      <c r="C169" s="267"/>
      <c r="D169" s="109"/>
      <c r="E169" s="109"/>
      <c r="F169" s="131"/>
      <c r="G169" s="107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3"/>
      <c r="W169" s="13"/>
      <c r="X169" s="57"/>
      <c r="Y169" s="125"/>
      <c r="Z169" s="125"/>
      <c r="AA169" s="125"/>
      <c r="AB169" s="125"/>
      <c r="AC169" s="125"/>
      <c r="AD169" s="57"/>
      <c r="AE169" s="57"/>
      <c r="AF169" s="19"/>
      <c r="AG169" s="125"/>
      <c r="AH169" s="18" t="s">
        <v>518</v>
      </c>
      <c r="AI169" s="217">
        <f>5058+17594+521</f>
        <v>23173</v>
      </c>
      <c r="AJ169" s="125"/>
      <c r="AK169" s="125"/>
      <c r="AL169" s="125"/>
      <c r="AM169" s="125"/>
      <c r="AN169" s="125"/>
      <c r="AO169" s="125"/>
      <c r="AP169" s="125" t="s">
        <v>820</v>
      </c>
      <c r="AQ169" s="18" t="s">
        <v>829</v>
      </c>
      <c r="AR169" s="22"/>
      <c r="AS169" s="22"/>
      <c r="AT169" s="50"/>
      <c r="AU169" s="50"/>
    </row>
    <row r="170" spans="1:47" s="51" customFormat="1" ht="13.5" thickBot="1">
      <c r="A170" s="82"/>
      <c r="B170" s="169" t="s">
        <v>21</v>
      </c>
      <c r="C170" s="170"/>
      <c r="D170" s="222">
        <v>82584.639999999999</v>
      </c>
      <c r="E170" s="222">
        <v>-73946.22</v>
      </c>
      <c r="F170" s="64">
        <f>SUM(I170,M170,Q170,U170,Y170,AC170,AG170,AK170,AO170,AS170)</f>
        <v>40948</v>
      </c>
      <c r="G170" s="223">
        <v>49990</v>
      </c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65"/>
      <c r="U170" s="154">
        <v>7500</v>
      </c>
      <c r="V170" s="78"/>
      <c r="W170" s="78">
        <f>204+587</f>
        <v>791</v>
      </c>
      <c r="X170" s="205"/>
      <c r="Y170" s="78"/>
      <c r="Z170" s="65"/>
      <c r="AA170" s="65"/>
      <c r="AB170" s="65"/>
      <c r="AC170" s="154">
        <v>11172</v>
      </c>
      <c r="AD170" s="78"/>
      <c r="AE170" s="78"/>
      <c r="AF170" s="136"/>
      <c r="AG170" s="154">
        <v>22276</v>
      </c>
      <c r="AH170" s="78"/>
      <c r="AI170" s="154">
        <f>AI168+AI169</f>
        <v>39523</v>
      </c>
      <c r="AJ170" s="78"/>
      <c r="AK170" s="78"/>
      <c r="AL170" s="65"/>
      <c r="AM170" s="66"/>
      <c r="AN170" s="65"/>
      <c r="AO170" s="78"/>
      <c r="AP170" s="78"/>
      <c r="AQ170" s="78">
        <f>AQ168+3945+1364+3467</f>
        <v>9676</v>
      </c>
      <c r="AR170" s="69"/>
      <c r="AS170" s="69"/>
      <c r="AT170" s="71"/>
      <c r="AU170" s="71"/>
    </row>
    <row r="171" spans="1:47" s="51" customFormat="1" ht="77.25" thickTop="1">
      <c r="A171" s="80">
        <v>53</v>
      </c>
      <c r="B171" s="143" t="s">
        <v>13</v>
      </c>
      <c r="C171" s="269">
        <v>16</v>
      </c>
      <c r="D171" s="171"/>
      <c r="E171" s="171"/>
      <c r="F171" s="106"/>
      <c r="G171" s="106"/>
      <c r="H171" s="16"/>
      <c r="I171" s="15"/>
      <c r="J171" s="15"/>
      <c r="K171" s="14"/>
      <c r="L171" s="15"/>
      <c r="M171" s="15"/>
      <c r="N171" s="15"/>
      <c r="O171" s="15"/>
      <c r="P171" s="15"/>
      <c r="Q171" s="15"/>
      <c r="R171" s="16" t="s">
        <v>484</v>
      </c>
      <c r="S171" s="15">
        <v>5594</v>
      </c>
      <c r="T171" s="18" t="s">
        <v>503</v>
      </c>
      <c r="U171" s="14">
        <v>6000</v>
      </c>
      <c r="V171" s="16" t="s">
        <v>832</v>
      </c>
      <c r="W171" s="15">
        <v>102</v>
      </c>
      <c r="X171" s="18" t="s">
        <v>556</v>
      </c>
      <c r="Y171" s="14">
        <v>120000</v>
      </c>
      <c r="Z171" s="13" t="s">
        <v>359</v>
      </c>
      <c r="AA171" s="57">
        <v>88427</v>
      </c>
      <c r="AB171" s="19" t="s">
        <v>204</v>
      </c>
      <c r="AC171" s="14">
        <v>13034</v>
      </c>
      <c r="AD171" s="15"/>
      <c r="AE171" s="15"/>
      <c r="AF171" s="24" t="s">
        <v>658</v>
      </c>
      <c r="AG171" s="16" t="s">
        <v>226</v>
      </c>
      <c r="AH171" s="16" t="s">
        <v>412</v>
      </c>
      <c r="AI171" s="16">
        <f>1892+15962</f>
        <v>17854</v>
      </c>
      <c r="AJ171" s="175"/>
      <c r="AK171" s="15"/>
      <c r="AL171" s="57"/>
      <c r="AM171" s="57"/>
      <c r="AN171" s="19"/>
      <c r="AO171" s="15"/>
      <c r="AP171" s="15"/>
      <c r="AQ171" s="15"/>
      <c r="AR171" s="149"/>
      <c r="AS171" s="149"/>
      <c r="AT171" s="26"/>
      <c r="AU171" s="26"/>
    </row>
    <row r="172" spans="1:47" s="51" customFormat="1" ht="89.25">
      <c r="A172" s="81"/>
      <c r="B172" s="130"/>
      <c r="C172" s="267"/>
      <c r="D172" s="109"/>
      <c r="E172" s="109"/>
      <c r="F172" s="131"/>
      <c r="G172" s="107"/>
      <c r="H172" s="153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18" t="s">
        <v>499</v>
      </c>
      <c r="U172" s="154">
        <v>6400</v>
      </c>
      <c r="V172" s="78"/>
      <c r="W172" s="78"/>
      <c r="X172" s="57"/>
      <c r="Y172" s="78"/>
      <c r="Z172" s="78"/>
      <c r="AA172" s="78"/>
      <c r="AB172" s="78"/>
      <c r="AC172" s="78"/>
      <c r="AD172" s="78"/>
      <c r="AE172" s="78"/>
      <c r="AF172" s="136"/>
      <c r="AG172" s="78"/>
      <c r="AH172" s="153" t="s">
        <v>485</v>
      </c>
      <c r="AI172" s="201">
        <f>8777+18465</f>
        <v>27242</v>
      </c>
      <c r="AJ172" s="19"/>
      <c r="AK172" s="78"/>
      <c r="AL172" s="78"/>
      <c r="AM172" s="78"/>
      <c r="AN172" s="153"/>
      <c r="AO172" s="78"/>
      <c r="AP172" s="78"/>
      <c r="AQ172" s="78"/>
      <c r="AR172" s="22"/>
      <c r="AS172" s="22"/>
      <c r="AT172" s="50"/>
      <c r="AU172" s="50"/>
    </row>
    <row r="173" spans="1:47" s="51" customFormat="1" ht="13.5" thickBot="1">
      <c r="A173" s="82"/>
      <c r="B173" s="169" t="s">
        <v>21</v>
      </c>
      <c r="C173" s="170"/>
      <c r="D173" s="63">
        <v>80512</v>
      </c>
      <c r="E173" s="63">
        <v>-78758.100000000006</v>
      </c>
      <c r="F173" s="64">
        <f>SUM(I173,M173,Q173,U173,Y173,AC173,AG173,AK173,AO173,AS173)</f>
        <v>197432</v>
      </c>
      <c r="G173" s="64">
        <v>139219</v>
      </c>
      <c r="H173" s="65"/>
      <c r="I173" s="65"/>
      <c r="J173" s="65"/>
      <c r="K173" s="66"/>
      <c r="L173" s="65"/>
      <c r="M173" s="65"/>
      <c r="N173" s="65"/>
      <c r="O173" s="65"/>
      <c r="P173" s="65"/>
      <c r="Q173" s="65"/>
      <c r="R173" s="65"/>
      <c r="S173" s="65">
        <v>5594</v>
      </c>
      <c r="T173" s="65"/>
      <c r="U173" s="66">
        <v>12400</v>
      </c>
      <c r="V173" s="65"/>
      <c r="W173" s="65">
        <f>W171</f>
        <v>102</v>
      </c>
      <c r="X173" s="65"/>
      <c r="Y173" s="66">
        <v>120000</v>
      </c>
      <c r="Z173" s="65"/>
      <c r="AA173" s="65">
        <f>AA171</f>
        <v>88427</v>
      </c>
      <c r="AB173" s="65"/>
      <c r="AC173" s="66">
        <v>13034</v>
      </c>
      <c r="AD173" s="65"/>
      <c r="AE173" s="65"/>
      <c r="AF173" s="67"/>
      <c r="AG173" s="66">
        <v>51998</v>
      </c>
      <c r="AH173" s="65"/>
      <c r="AI173" s="66">
        <f>AI171+AI172</f>
        <v>45096</v>
      </c>
      <c r="AJ173" s="65"/>
      <c r="AK173" s="65"/>
      <c r="AL173" s="65"/>
      <c r="AM173" s="65"/>
      <c r="AN173" s="65"/>
      <c r="AO173" s="65"/>
      <c r="AP173" s="65"/>
      <c r="AQ173" s="65"/>
      <c r="AR173" s="69"/>
      <c r="AS173" s="69"/>
      <c r="AT173" s="71"/>
      <c r="AU173" s="71"/>
    </row>
    <row r="174" spans="1:47" s="51" customFormat="1" ht="102.75" thickTop="1">
      <c r="A174" s="80">
        <v>54</v>
      </c>
      <c r="B174" s="143" t="s">
        <v>13</v>
      </c>
      <c r="C174" s="269">
        <v>18</v>
      </c>
      <c r="D174" s="171"/>
      <c r="E174" s="171"/>
      <c r="F174" s="106"/>
      <c r="G174" s="106"/>
      <c r="H174" s="16" t="s">
        <v>134</v>
      </c>
      <c r="I174" s="14">
        <v>2600</v>
      </c>
      <c r="J174" s="16"/>
      <c r="K174" s="20"/>
      <c r="L174" s="15"/>
      <c r="M174" s="15"/>
      <c r="N174" s="15"/>
      <c r="O174" s="15"/>
      <c r="P174" s="15"/>
      <c r="Q174" s="15"/>
      <c r="R174" s="16" t="s">
        <v>484</v>
      </c>
      <c r="S174" s="15">
        <v>7474</v>
      </c>
      <c r="T174" s="13" t="s">
        <v>503</v>
      </c>
      <c r="U174" s="14">
        <v>6000</v>
      </c>
      <c r="V174" s="15"/>
      <c r="W174" s="15"/>
      <c r="X174" s="15"/>
      <c r="Y174" s="15"/>
      <c r="Z174" s="15"/>
      <c r="AA174" s="15"/>
      <c r="AB174" s="24" t="s">
        <v>158</v>
      </c>
      <c r="AC174" s="14">
        <v>16758</v>
      </c>
      <c r="AD174" s="16" t="s">
        <v>396</v>
      </c>
      <c r="AE174" s="15">
        <v>4006</v>
      </c>
      <c r="AF174" s="24" t="s">
        <v>642</v>
      </c>
      <c r="AG174" s="16" t="s">
        <v>227</v>
      </c>
      <c r="AH174" s="16" t="s">
        <v>322</v>
      </c>
      <c r="AI174" s="20">
        <f>1332+15404</f>
        <v>16736</v>
      </c>
      <c r="AJ174" s="15"/>
      <c r="AK174" s="15"/>
      <c r="AL174" s="57"/>
      <c r="AM174" s="57"/>
      <c r="AN174" s="25"/>
      <c r="AO174" s="15"/>
      <c r="AP174" s="16" t="s">
        <v>590</v>
      </c>
      <c r="AQ174" s="16">
        <f>5643.5+5643.5</f>
        <v>11287</v>
      </c>
      <c r="AR174" s="76" t="s">
        <v>246</v>
      </c>
      <c r="AS174" s="27">
        <v>10400</v>
      </c>
      <c r="AT174" s="26"/>
      <c r="AU174" s="26"/>
    </row>
    <row r="175" spans="1:47" s="51" customFormat="1" ht="89.25">
      <c r="A175" s="81"/>
      <c r="B175" s="130"/>
      <c r="C175" s="267"/>
      <c r="D175" s="109"/>
      <c r="E175" s="109"/>
      <c r="F175" s="131"/>
      <c r="G175" s="131"/>
      <c r="H175" s="153"/>
      <c r="I175" s="154"/>
      <c r="J175" s="153"/>
      <c r="K175" s="201"/>
      <c r="L175" s="78"/>
      <c r="M175" s="78"/>
      <c r="N175" s="78"/>
      <c r="O175" s="78"/>
      <c r="P175" s="78"/>
      <c r="Q175" s="78"/>
      <c r="R175" s="153" t="s">
        <v>342</v>
      </c>
      <c r="S175" s="78">
        <v>2805</v>
      </c>
      <c r="T175" s="18" t="s">
        <v>499</v>
      </c>
      <c r="U175" s="154">
        <v>6400</v>
      </c>
      <c r="V175" s="78"/>
      <c r="W175" s="78"/>
      <c r="X175" s="78"/>
      <c r="Y175" s="78"/>
      <c r="Z175" s="78"/>
      <c r="AA175" s="78"/>
      <c r="AB175" s="136"/>
      <c r="AC175" s="154"/>
      <c r="AD175" s="153" t="s">
        <v>833</v>
      </c>
      <c r="AE175" s="78">
        <v>2467</v>
      </c>
      <c r="AF175" s="136"/>
      <c r="AG175" s="153"/>
      <c r="AH175" s="153" t="s">
        <v>464</v>
      </c>
      <c r="AI175" s="201">
        <f>21743+17097</f>
        <v>38840</v>
      </c>
      <c r="AJ175" s="78"/>
      <c r="AK175" s="78"/>
      <c r="AL175" s="78"/>
      <c r="AM175" s="78"/>
      <c r="AN175" s="181"/>
      <c r="AO175" s="78"/>
      <c r="AP175" s="78"/>
      <c r="AQ175" s="78"/>
      <c r="AR175" s="158"/>
      <c r="AS175" s="158"/>
      <c r="AT175" s="159"/>
      <c r="AU175" s="159"/>
    </row>
    <row r="176" spans="1:47" s="51" customFormat="1" ht="13.5" thickBot="1">
      <c r="A176" s="82"/>
      <c r="B176" s="169" t="s">
        <v>21</v>
      </c>
      <c r="C176" s="170"/>
      <c r="D176" s="63">
        <v>79891.839999999997</v>
      </c>
      <c r="E176" s="63">
        <v>-1091.8800000000001</v>
      </c>
      <c r="F176" s="64">
        <f>SUM(I176,M176,Q176,U176,Y176,AC176,AG176,AK176,AO176,AS176)</f>
        <v>84502</v>
      </c>
      <c r="G176" s="64">
        <v>83615</v>
      </c>
      <c r="H176" s="65"/>
      <c r="I176" s="66">
        <v>2600</v>
      </c>
      <c r="J176" s="65"/>
      <c r="K176" s="66"/>
      <c r="L176" s="65"/>
      <c r="M176" s="65"/>
      <c r="N176" s="65"/>
      <c r="O176" s="65"/>
      <c r="P176" s="65"/>
      <c r="Q176" s="65"/>
      <c r="R176" s="65"/>
      <c r="S176" s="65">
        <f>S175+S174</f>
        <v>10279</v>
      </c>
      <c r="T176" s="65"/>
      <c r="U176" s="66">
        <v>12400</v>
      </c>
      <c r="V176" s="65"/>
      <c r="W176" s="65"/>
      <c r="X176" s="65"/>
      <c r="Y176" s="65"/>
      <c r="Z176" s="65"/>
      <c r="AA176" s="65"/>
      <c r="AB176" s="65"/>
      <c r="AC176" s="66">
        <v>16758</v>
      </c>
      <c r="AD176" s="65"/>
      <c r="AE176" s="65">
        <f>AE174+AE175</f>
        <v>6473</v>
      </c>
      <c r="AF176" s="193"/>
      <c r="AG176" s="66">
        <v>42344</v>
      </c>
      <c r="AH176" s="65"/>
      <c r="AI176" s="66">
        <f>AI174+AI175</f>
        <v>55576</v>
      </c>
      <c r="AJ176" s="65"/>
      <c r="AK176" s="65"/>
      <c r="AL176" s="65"/>
      <c r="AM176" s="65"/>
      <c r="AN176" s="68"/>
      <c r="AO176" s="65"/>
      <c r="AP176" s="65"/>
      <c r="AQ176" s="65">
        <v>11287</v>
      </c>
      <c r="AR176" s="69"/>
      <c r="AS176" s="70">
        <v>10400</v>
      </c>
      <c r="AT176" s="71"/>
      <c r="AU176" s="71"/>
    </row>
    <row r="177" spans="1:47" s="51" customFormat="1" ht="102.75" thickTop="1">
      <c r="A177" s="80">
        <v>55</v>
      </c>
      <c r="B177" s="143" t="s">
        <v>13</v>
      </c>
      <c r="C177" s="269">
        <v>20</v>
      </c>
      <c r="D177" s="171"/>
      <c r="E177" s="171"/>
      <c r="F177" s="106"/>
      <c r="G177" s="106"/>
      <c r="H177" s="188"/>
      <c r="I177" s="15"/>
      <c r="J177" s="16" t="s">
        <v>570</v>
      </c>
      <c r="K177" s="15">
        <v>38294</v>
      </c>
      <c r="L177" s="15"/>
      <c r="M177" s="15"/>
      <c r="N177" s="15"/>
      <c r="O177" s="15"/>
      <c r="P177" s="15"/>
      <c r="Q177" s="15"/>
      <c r="R177" s="15"/>
      <c r="S177" s="14"/>
      <c r="T177" s="13" t="s">
        <v>503</v>
      </c>
      <c r="U177" s="14">
        <v>6000</v>
      </c>
      <c r="V177" s="15"/>
      <c r="W177" s="15"/>
      <c r="X177" s="15"/>
      <c r="Y177" s="15"/>
      <c r="Z177" s="15"/>
      <c r="AA177" s="15"/>
      <c r="AB177" s="16"/>
      <c r="AC177" s="15"/>
      <c r="AD177" s="16" t="s">
        <v>440</v>
      </c>
      <c r="AE177" s="20" t="s">
        <v>834</v>
      </c>
      <c r="AF177" s="24" t="s">
        <v>660</v>
      </c>
      <c r="AG177" s="16" t="s">
        <v>228</v>
      </c>
      <c r="AH177" s="16" t="s">
        <v>434</v>
      </c>
      <c r="AI177" s="20">
        <f>1205+15405+2807+1325</f>
        <v>20742</v>
      </c>
      <c r="AJ177" s="15"/>
      <c r="AK177" s="15"/>
      <c r="AL177" s="57"/>
      <c r="AM177" s="21"/>
      <c r="AN177" s="25"/>
      <c r="AO177" s="15"/>
      <c r="AP177" s="15"/>
      <c r="AQ177" s="57"/>
      <c r="AR177" s="149"/>
      <c r="AS177" s="149"/>
      <c r="AT177" s="26"/>
      <c r="AU177" s="26"/>
    </row>
    <row r="178" spans="1:47" s="51" customFormat="1" ht="89.25">
      <c r="A178" s="81"/>
      <c r="B178" s="184"/>
      <c r="C178" s="266"/>
      <c r="D178" s="108"/>
      <c r="E178" s="108"/>
      <c r="F178" s="110"/>
      <c r="G178" s="110"/>
      <c r="H178" s="26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21"/>
      <c r="T178" s="18" t="s">
        <v>499</v>
      </c>
      <c r="U178" s="21">
        <v>6400</v>
      </c>
      <c r="V178" s="57"/>
      <c r="W178" s="57"/>
      <c r="X178" s="57"/>
      <c r="Y178" s="57"/>
      <c r="Z178" s="57"/>
      <c r="AA178" s="57"/>
      <c r="AB178" s="13"/>
      <c r="AC178" s="57"/>
      <c r="AD178" s="13"/>
      <c r="AE178" s="21"/>
      <c r="AF178" s="19"/>
      <c r="AG178" s="13"/>
      <c r="AH178" s="13" t="s">
        <v>513</v>
      </c>
      <c r="AI178" s="21">
        <v>87731</v>
      </c>
      <c r="AJ178" s="57"/>
      <c r="AK178" s="57"/>
      <c r="AL178" s="57"/>
      <c r="AM178" s="21"/>
      <c r="AN178" s="25"/>
      <c r="AO178" s="57"/>
      <c r="AP178" s="57"/>
      <c r="AQ178" s="57"/>
      <c r="AR178" s="149"/>
      <c r="AS178" s="149"/>
      <c r="AT178" s="26"/>
      <c r="AU178" s="26"/>
    </row>
    <row r="179" spans="1:47" s="51" customFormat="1" ht="76.5">
      <c r="A179" s="81"/>
      <c r="B179" s="130"/>
      <c r="C179" s="267"/>
      <c r="D179" s="109"/>
      <c r="E179" s="109"/>
      <c r="F179" s="131"/>
      <c r="G179" s="131"/>
      <c r="H179" s="271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154"/>
      <c r="T179" s="153" t="s">
        <v>510</v>
      </c>
      <c r="U179" s="154">
        <v>7000</v>
      </c>
      <c r="V179" s="78"/>
      <c r="W179" s="78"/>
      <c r="X179" s="78"/>
      <c r="Y179" s="78"/>
      <c r="Z179" s="78"/>
      <c r="AA179" s="78"/>
      <c r="AB179" s="153"/>
      <c r="AC179" s="78"/>
      <c r="AD179" s="153"/>
      <c r="AE179" s="154"/>
      <c r="AF179" s="136"/>
      <c r="AG179" s="153"/>
      <c r="AH179" s="78"/>
      <c r="AI179" s="154"/>
      <c r="AJ179" s="78"/>
      <c r="AK179" s="78"/>
      <c r="AL179" s="78"/>
      <c r="AM179" s="154"/>
      <c r="AN179" s="136"/>
      <c r="AO179" s="78"/>
      <c r="AP179" s="78"/>
      <c r="AQ179" s="78"/>
      <c r="AR179" s="158"/>
      <c r="AS179" s="158"/>
      <c r="AT179" s="159"/>
      <c r="AU179" s="159"/>
    </row>
    <row r="180" spans="1:47" s="51" customFormat="1" ht="13.5" thickBot="1">
      <c r="A180" s="82"/>
      <c r="B180" s="169" t="s">
        <v>21</v>
      </c>
      <c r="C180" s="170"/>
      <c r="D180" s="63">
        <v>135439.70000000001</v>
      </c>
      <c r="E180" s="63">
        <v>38148.480000000003</v>
      </c>
      <c r="F180" s="172">
        <f>SUM(I180,M180,Q180,U180,Y180,AC180,AG180,AK180,AO180,AS180)</f>
        <v>78758</v>
      </c>
      <c r="G180" s="172">
        <v>157248</v>
      </c>
      <c r="H180" s="205"/>
      <c r="I180" s="65"/>
      <c r="J180" s="65"/>
      <c r="K180" s="65">
        <v>38294</v>
      </c>
      <c r="L180" s="65"/>
      <c r="M180" s="65"/>
      <c r="N180" s="65"/>
      <c r="O180" s="65"/>
      <c r="P180" s="65"/>
      <c r="Q180" s="65"/>
      <c r="R180" s="65"/>
      <c r="S180" s="66"/>
      <c r="T180" s="65"/>
      <c r="U180" s="66">
        <v>19400</v>
      </c>
      <c r="V180" s="65"/>
      <c r="W180" s="65"/>
      <c r="X180" s="65"/>
      <c r="Y180" s="65"/>
      <c r="Z180" s="65"/>
      <c r="AA180" s="65"/>
      <c r="AB180" s="65"/>
      <c r="AC180" s="65"/>
      <c r="AD180" s="65"/>
      <c r="AE180" s="66">
        <f>3910+3801+2768</f>
        <v>10479</v>
      </c>
      <c r="AF180" s="67"/>
      <c r="AG180" s="66">
        <v>59358</v>
      </c>
      <c r="AH180" s="65"/>
      <c r="AI180" s="66">
        <f>AI178+AI177</f>
        <v>108473</v>
      </c>
      <c r="AJ180" s="65"/>
      <c r="AK180" s="65"/>
      <c r="AL180" s="65"/>
      <c r="AM180" s="66"/>
      <c r="AN180" s="65"/>
      <c r="AO180" s="65"/>
      <c r="AP180" s="65"/>
      <c r="AQ180" s="65"/>
      <c r="AR180" s="69"/>
      <c r="AS180" s="69"/>
      <c r="AT180" s="71"/>
      <c r="AU180" s="71"/>
    </row>
    <row r="181" spans="1:47" s="51" customFormat="1" ht="179.25" thickTop="1">
      <c r="A181" s="80">
        <v>56</v>
      </c>
      <c r="B181" s="219" t="s">
        <v>14</v>
      </c>
      <c r="C181" s="258">
        <v>1</v>
      </c>
      <c r="D181" s="262" t="s">
        <v>248</v>
      </c>
      <c r="E181" s="263"/>
      <c r="F181" s="264"/>
      <c r="G181" s="197"/>
      <c r="H181" s="16"/>
      <c r="I181" s="15"/>
      <c r="J181" s="15"/>
      <c r="K181" s="14"/>
      <c r="L181" s="15"/>
      <c r="M181" s="15"/>
      <c r="N181" s="15"/>
      <c r="O181" s="15"/>
      <c r="P181" s="15"/>
      <c r="Q181" s="15"/>
      <c r="R181" s="16"/>
      <c r="S181" s="14"/>
      <c r="T181" s="13" t="s">
        <v>503</v>
      </c>
      <c r="U181" s="14">
        <v>6000</v>
      </c>
      <c r="V181" s="153" t="s">
        <v>488</v>
      </c>
      <c r="W181" s="154">
        <v>1071</v>
      </c>
      <c r="X181" s="272"/>
      <c r="Y181" s="15"/>
      <c r="Z181" s="15"/>
      <c r="AA181" s="15"/>
      <c r="AB181" s="24" t="s">
        <v>58</v>
      </c>
      <c r="AC181" s="14">
        <v>14896</v>
      </c>
      <c r="AD181" s="273" t="s">
        <v>670</v>
      </c>
      <c r="AE181" s="274">
        <v>26682</v>
      </c>
      <c r="AF181" s="25"/>
      <c r="AG181" s="15"/>
      <c r="AH181" s="13" t="s">
        <v>835</v>
      </c>
      <c r="AI181" s="13">
        <v>4311</v>
      </c>
      <c r="AJ181" s="175"/>
      <c r="AK181" s="15"/>
      <c r="AL181" s="57"/>
      <c r="AM181" s="57"/>
      <c r="AN181" s="25"/>
      <c r="AO181" s="15"/>
      <c r="AP181" s="15"/>
      <c r="AQ181" s="15"/>
      <c r="AR181" s="149"/>
      <c r="AS181" s="149"/>
      <c r="AT181" s="26"/>
      <c r="AU181" s="26"/>
    </row>
    <row r="182" spans="1:47" s="51" customFormat="1" ht="13.5" thickBot="1">
      <c r="A182" s="82"/>
      <c r="B182" s="169" t="s">
        <v>21</v>
      </c>
      <c r="C182" s="170"/>
      <c r="D182" s="63">
        <v>78635.199999999997</v>
      </c>
      <c r="E182" s="63">
        <v>25355.24</v>
      </c>
      <c r="F182" s="64">
        <f>SUM(I182,M182,Q182,U182,Y182,AC182,AG182,AK182,AO182,AS182)</f>
        <v>20896</v>
      </c>
      <c r="G182" s="64">
        <v>32064</v>
      </c>
      <c r="H182" s="65"/>
      <c r="I182" s="65"/>
      <c r="J182" s="65"/>
      <c r="K182" s="66"/>
      <c r="L182" s="65"/>
      <c r="M182" s="65"/>
      <c r="N182" s="65"/>
      <c r="O182" s="65"/>
      <c r="P182" s="65"/>
      <c r="Q182" s="65"/>
      <c r="R182" s="65"/>
      <c r="S182" s="66"/>
      <c r="T182" s="65"/>
      <c r="U182" s="66">
        <v>6000</v>
      </c>
      <c r="V182" s="65"/>
      <c r="W182" s="66">
        <v>1071</v>
      </c>
      <c r="X182" s="65"/>
      <c r="Y182" s="65"/>
      <c r="Z182" s="65"/>
      <c r="AA182" s="65"/>
      <c r="AB182" s="65"/>
      <c r="AC182" s="66">
        <v>14896</v>
      </c>
      <c r="AD182" s="65"/>
      <c r="AE182" s="275">
        <v>26682</v>
      </c>
      <c r="AF182" s="67"/>
      <c r="AG182" s="65"/>
      <c r="AH182" s="65"/>
      <c r="AI182" s="66">
        <f>AI181</f>
        <v>4311</v>
      </c>
      <c r="AJ182" s="65"/>
      <c r="AK182" s="65"/>
      <c r="AL182" s="65"/>
      <c r="AM182" s="65"/>
      <c r="AN182" s="65"/>
      <c r="AO182" s="65"/>
      <c r="AP182" s="65"/>
      <c r="AQ182" s="65"/>
      <c r="AR182" s="69"/>
      <c r="AS182" s="69"/>
      <c r="AT182" s="71"/>
      <c r="AU182" s="71"/>
    </row>
    <row r="183" spans="1:47" s="51" customFormat="1" ht="90" thickTop="1">
      <c r="A183" s="80">
        <v>57</v>
      </c>
      <c r="B183" s="143" t="s">
        <v>14</v>
      </c>
      <c r="C183" s="143" t="s">
        <v>29</v>
      </c>
      <c r="D183" s="171"/>
      <c r="E183" s="171"/>
      <c r="F183" s="106"/>
      <c r="G183" s="106"/>
      <c r="H183" s="16"/>
      <c r="I183" s="20"/>
      <c r="J183" s="15"/>
      <c r="K183" s="14"/>
      <c r="L183" s="15"/>
      <c r="M183" s="15"/>
      <c r="N183" s="15"/>
      <c r="O183" s="15"/>
      <c r="P183" s="16"/>
      <c r="Q183" s="15"/>
      <c r="R183" s="15"/>
      <c r="S183" s="15"/>
      <c r="T183" s="13" t="s">
        <v>501</v>
      </c>
      <c r="U183" s="14">
        <v>7500</v>
      </c>
      <c r="V183" s="16"/>
      <c r="W183" s="15"/>
      <c r="X183" s="16"/>
      <c r="Y183" s="15"/>
      <c r="Z183" s="15"/>
      <c r="AA183" s="15"/>
      <c r="AB183" s="24" t="s">
        <v>152</v>
      </c>
      <c r="AC183" s="14">
        <v>22344</v>
      </c>
      <c r="AD183" s="57"/>
      <c r="AE183" s="57"/>
      <c r="AF183" s="19" t="s">
        <v>639</v>
      </c>
      <c r="AG183" s="16" t="s">
        <v>348</v>
      </c>
      <c r="AH183" s="16" t="s">
        <v>640</v>
      </c>
      <c r="AI183" s="16">
        <v>10187</v>
      </c>
      <c r="AJ183" s="175"/>
      <c r="AK183" s="15"/>
      <c r="AL183" s="15"/>
      <c r="AM183" s="15"/>
      <c r="AN183" s="16" t="s">
        <v>229</v>
      </c>
      <c r="AO183" s="14">
        <v>18240</v>
      </c>
      <c r="AP183" s="16"/>
      <c r="AQ183" s="13"/>
      <c r="AR183" s="149"/>
      <c r="AS183" s="149"/>
      <c r="AT183" s="26"/>
      <c r="AU183" s="26"/>
    </row>
    <row r="184" spans="1:47" s="51" customFormat="1" ht="89.25">
      <c r="A184" s="81"/>
      <c r="B184" s="184"/>
      <c r="C184" s="184"/>
      <c r="D184" s="108"/>
      <c r="E184" s="108"/>
      <c r="F184" s="110"/>
      <c r="G184" s="110"/>
      <c r="H184" s="18"/>
      <c r="I184" s="217"/>
      <c r="J184" s="125"/>
      <c r="K184" s="127"/>
      <c r="L184" s="125"/>
      <c r="M184" s="125"/>
      <c r="N184" s="125"/>
      <c r="O184" s="125"/>
      <c r="P184" s="18"/>
      <c r="Q184" s="125"/>
      <c r="R184" s="125"/>
      <c r="S184" s="125"/>
      <c r="T184" s="18" t="s">
        <v>499</v>
      </c>
      <c r="U184" s="127">
        <v>6400</v>
      </c>
      <c r="V184" s="18"/>
      <c r="W184" s="125"/>
      <c r="X184" s="18"/>
      <c r="Y184" s="125"/>
      <c r="Z184" s="125"/>
      <c r="AA184" s="125"/>
      <c r="AB184" s="25"/>
      <c r="AC184" s="127"/>
      <c r="AD184" s="125"/>
      <c r="AE184" s="125"/>
      <c r="AF184" s="25"/>
      <c r="AG184" s="18"/>
      <c r="AH184" s="18" t="s">
        <v>465</v>
      </c>
      <c r="AI184" s="18">
        <v>3122</v>
      </c>
      <c r="AJ184" s="231"/>
      <c r="AK184" s="125"/>
      <c r="AL184" s="125"/>
      <c r="AM184" s="125"/>
      <c r="AN184" s="125"/>
      <c r="AO184" s="127"/>
      <c r="AP184" s="18"/>
      <c r="AQ184" s="18"/>
      <c r="AR184" s="22"/>
      <c r="AS184" s="22"/>
      <c r="AT184" s="50"/>
      <c r="AU184" s="50"/>
    </row>
    <row r="185" spans="1:47" s="51" customFormat="1" ht="114.75">
      <c r="A185" s="81"/>
      <c r="B185" s="130"/>
      <c r="C185" s="130"/>
      <c r="D185" s="109"/>
      <c r="E185" s="109"/>
      <c r="F185" s="131"/>
      <c r="G185" s="131"/>
      <c r="H185" s="13"/>
      <c r="I185" s="62"/>
      <c r="J185" s="57"/>
      <c r="K185" s="21"/>
      <c r="L185" s="57"/>
      <c r="M185" s="57"/>
      <c r="N185" s="57"/>
      <c r="O185" s="57"/>
      <c r="P185" s="13"/>
      <c r="Q185" s="57"/>
      <c r="R185" s="57"/>
      <c r="S185" s="57"/>
      <c r="T185" s="13" t="s">
        <v>519</v>
      </c>
      <c r="U185" s="21">
        <v>16000</v>
      </c>
      <c r="V185" s="13"/>
      <c r="W185" s="57"/>
      <c r="X185" s="13"/>
      <c r="Y185" s="57"/>
      <c r="Z185" s="57"/>
      <c r="AA185" s="57"/>
      <c r="AB185" s="19"/>
      <c r="AC185" s="21"/>
      <c r="AD185" s="57"/>
      <c r="AE185" s="57"/>
      <c r="AF185" s="19"/>
      <c r="AG185" s="13"/>
      <c r="AH185" s="13"/>
      <c r="AI185" s="13"/>
      <c r="AJ185" s="147"/>
      <c r="AK185" s="57"/>
      <c r="AL185" s="57"/>
      <c r="AM185" s="57"/>
      <c r="AN185" s="57"/>
      <c r="AO185" s="21"/>
      <c r="AP185" s="13"/>
      <c r="AQ185" s="13"/>
      <c r="AR185" s="149"/>
      <c r="AS185" s="149"/>
      <c r="AT185" s="26"/>
      <c r="AU185" s="26"/>
    </row>
    <row r="186" spans="1:47" s="51" customFormat="1" ht="13.5" thickBot="1">
      <c r="A186" s="82"/>
      <c r="B186" s="169" t="s">
        <v>21</v>
      </c>
      <c r="C186" s="170"/>
      <c r="D186" s="222">
        <v>103496</v>
      </c>
      <c r="E186" s="222">
        <v>-249103.35</v>
      </c>
      <c r="F186" s="172">
        <f>SUM(I186,M186,Q186,U186,Y186,AC186,AG186,AK186,AO186,AS186)</f>
        <v>134632</v>
      </c>
      <c r="G186" s="223">
        <v>13309</v>
      </c>
      <c r="H186" s="78"/>
      <c r="I186" s="154"/>
      <c r="J186" s="78"/>
      <c r="K186" s="154"/>
      <c r="L186" s="78"/>
      <c r="M186" s="78"/>
      <c r="N186" s="78"/>
      <c r="O186" s="78"/>
      <c r="P186" s="78"/>
      <c r="Q186" s="78"/>
      <c r="R186" s="78"/>
      <c r="S186" s="78"/>
      <c r="T186" s="65"/>
      <c r="U186" s="154">
        <v>29900</v>
      </c>
      <c r="V186" s="78"/>
      <c r="W186" s="78"/>
      <c r="X186" s="78"/>
      <c r="Y186" s="78"/>
      <c r="Z186" s="78"/>
      <c r="AA186" s="78"/>
      <c r="AB186" s="78"/>
      <c r="AC186" s="154">
        <v>22344</v>
      </c>
      <c r="AD186" s="205"/>
      <c r="AE186" s="205"/>
      <c r="AF186" s="237"/>
      <c r="AG186" s="154">
        <v>64148</v>
      </c>
      <c r="AH186" s="78"/>
      <c r="AI186" s="154">
        <f>3122+10187</f>
        <v>13309</v>
      </c>
      <c r="AJ186" s="78"/>
      <c r="AK186" s="78"/>
      <c r="AL186" s="205"/>
      <c r="AM186" s="205"/>
      <c r="AN186" s="205"/>
      <c r="AO186" s="154">
        <v>18240</v>
      </c>
      <c r="AP186" s="206"/>
      <c r="AQ186" s="206"/>
      <c r="AR186" s="239"/>
      <c r="AS186" s="239"/>
      <c r="AT186" s="240"/>
      <c r="AU186" s="240"/>
    </row>
    <row r="187" spans="1:47" s="51" customFormat="1" ht="192" thickTop="1">
      <c r="A187" s="80">
        <v>58</v>
      </c>
      <c r="B187" s="143" t="s">
        <v>14</v>
      </c>
      <c r="C187" s="269">
        <v>3</v>
      </c>
      <c r="D187" s="171"/>
      <c r="E187" s="171"/>
      <c r="F187" s="106"/>
      <c r="G187" s="106"/>
      <c r="H187" s="16" t="s">
        <v>123</v>
      </c>
      <c r="I187" s="14">
        <v>75000</v>
      </c>
      <c r="J187" s="16" t="s">
        <v>435</v>
      </c>
      <c r="K187" s="16" t="s">
        <v>840</v>
      </c>
      <c r="L187" s="15"/>
      <c r="M187" s="15"/>
      <c r="N187" s="15"/>
      <c r="O187" s="15"/>
      <c r="P187" s="16"/>
      <c r="Q187" s="15"/>
      <c r="R187" s="15"/>
      <c r="S187" s="15"/>
      <c r="T187" s="13" t="s">
        <v>520</v>
      </c>
      <c r="U187" s="14">
        <v>5000</v>
      </c>
      <c r="V187" s="16" t="s">
        <v>489</v>
      </c>
      <c r="W187" s="15">
        <v>674</v>
      </c>
      <c r="X187" s="15"/>
      <c r="Y187" s="15"/>
      <c r="Z187" s="15"/>
      <c r="AA187" s="15"/>
      <c r="AB187" s="24" t="s">
        <v>41</v>
      </c>
      <c r="AC187" s="14">
        <v>11172</v>
      </c>
      <c r="AD187" s="13" t="s">
        <v>671</v>
      </c>
      <c r="AE187" s="57">
        <v>9014</v>
      </c>
      <c r="AF187" s="13" t="s">
        <v>645</v>
      </c>
      <c r="AG187" s="16" t="s">
        <v>230</v>
      </c>
      <c r="AH187" s="16" t="s">
        <v>838</v>
      </c>
      <c r="AI187" s="20" t="s">
        <v>837</v>
      </c>
      <c r="AJ187" s="175"/>
      <c r="AK187" s="15"/>
      <c r="AL187" s="13"/>
      <c r="AM187" s="13"/>
      <c r="AN187" s="19"/>
      <c r="AO187" s="15"/>
      <c r="AP187" s="13" t="s">
        <v>566</v>
      </c>
      <c r="AQ187" s="62" t="s">
        <v>836</v>
      </c>
      <c r="AR187" s="149"/>
      <c r="AS187" s="149"/>
      <c r="AT187" s="26"/>
      <c r="AU187" s="26"/>
    </row>
    <row r="188" spans="1:47" s="51" customFormat="1" ht="102">
      <c r="A188" s="81"/>
      <c r="B188" s="130"/>
      <c r="C188" s="267"/>
      <c r="D188" s="109"/>
      <c r="E188" s="109"/>
      <c r="F188" s="131"/>
      <c r="G188" s="131"/>
      <c r="H188" s="153"/>
      <c r="I188" s="154"/>
      <c r="J188" s="153" t="s">
        <v>567</v>
      </c>
      <c r="K188" s="153" t="s">
        <v>841</v>
      </c>
      <c r="L188" s="78"/>
      <c r="M188" s="78"/>
      <c r="N188" s="78"/>
      <c r="O188" s="78"/>
      <c r="P188" s="153"/>
      <c r="Q188" s="78"/>
      <c r="R188" s="78"/>
      <c r="S188" s="78"/>
      <c r="T188" s="18" t="s">
        <v>511</v>
      </c>
      <c r="U188" s="154">
        <v>9600</v>
      </c>
      <c r="V188" s="153" t="s">
        <v>392</v>
      </c>
      <c r="W188" s="153">
        <v>2715</v>
      </c>
      <c r="X188" s="78"/>
      <c r="Y188" s="78"/>
      <c r="Z188" s="78"/>
      <c r="AA188" s="78"/>
      <c r="AB188" s="136"/>
      <c r="AC188" s="154"/>
      <c r="AD188" s="153" t="s">
        <v>839</v>
      </c>
      <c r="AE188" s="78">
        <v>19413</v>
      </c>
      <c r="AF188" s="153"/>
      <c r="AG188" s="153"/>
      <c r="AH188" s="153"/>
      <c r="AI188" s="154"/>
      <c r="AJ188" s="155"/>
      <c r="AK188" s="78"/>
      <c r="AL188" s="78"/>
      <c r="AM188" s="78"/>
      <c r="AN188" s="136"/>
      <c r="AO188" s="78"/>
      <c r="AP188" s="78"/>
      <c r="AQ188" s="154"/>
      <c r="AR188" s="158"/>
      <c r="AS188" s="158"/>
      <c r="AT188" s="159"/>
      <c r="AU188" s="159"/>
    </row>
    <row r="189" spans="1:47" s="51" customFormat="1" ht="13.5" thickBot="1">
      <c r="A189" s="82"/>
      <c r="B189" s="169" t="s">
        <v>21</v>
      </c>
      <c r="C189" s="170"/>
      <c r="D189" s="63">
        <v>109719.4</v>
      </c>
      <c r="E189" s="63">
        <v>44529.13</v>
      </c>
      <c r="F189" s="172">
        <f>SUM(I189,M189,Q189,U189,Y189,AC189,AG189,AK189,AO189,AS189)</f>
        <v>156814</v>
      </c>
      <c r="G189" s="64">
        <v>243518</v>
      </c>
      <c r="H189" s="65"/>
      <c r="I189" s="66">
        <v>75000</v>
      </c>
      <c r="J189" s="65"/>
      <c r="K189" s="65">
        <f>29978+53438+67321+2549</f>
        <v>153286</v>
      </c>
      <c r="L189" s="65"/>
      <c r="M189" s="65"/>
      <c r="N189" s="65"/>
      <c r="O189" s="65"/>
      <c r="P189" s="65"/>
      <c r="Q189" s="65"/>
      <c r="R189" s="65"/>
      <c r="S189" s="65"/>
      <c r="T189" s="65"/>
      <c r="U189" s="66">
        <v>14600</v>
      </c>
      <c r="V189" s="65"/>
      <c r="W189" s="65">
        <f>W188+W187</f>
        <v>3389</v>
      </c>
      <c r="X189" s="65"/>
      <c r="Y189" s="65"/>
      <c r="Z189" s="65"/>
      <c r="AA189" s="65"/>
      <c r="AB189" s="65"/>
      <c r="AC189" s="66">
        <v>11172</v>
      </c>
      <c r="AD189" s="65"/>
      <c r="AE189" s="65">
        <f>AE187+AE188</f>
        <v>28427</v>
      </c>
      <c r="AF189" s="67"/>
      <c r="AG189" s="66">
        <v>56042</v>
      </c>
      <c r="AH189" s="65"/>
      <c r="AI189" s="66">
        <f>21122+2163+5346</f>
        <v>28631</v>
      </c>
      <c r="AJ189" s="65"/>
      <c r="AK189" s="65"/>
      <c r="AL189" s="65"/>
      <c r="AM189" s="65"/>
      <c r="AN189" s="65"/>
      <c r="AO189" s="65"/>
      <c r="AP189" s="65"/>
      <c r="AQ189" s="66">
        <f>1322+28463</f>
        <v>29785</v>
      </c>
      <c r="AR189" s="69"/>
      <c r="AS189" s="69"/>
      <c r="AT189" s="71"/>
      <c r="AU189" s="71"/>
    </row>
    <row r="190" spans="1:47" s="51" customFormat="1" ht="64.5" thickTop="1">
      <c r="A190" s="80">
        <v>59</v>
      </c>
      <c r="B190" s="276" t="s">
        <v>14</v>
      </c>
      <c r="C190" s="258">
        <v>5</v>
      </c>
      <c r="D190" s="259"/>
      <c r="E190" s="259"/>
      <c r="F190" s="75"/>
      <c r="G190" s="75"/>
      <c r="H190" s="15"/>
      <c r="I190" s="15"/>
      <c r="J190" s="16" t="s">
        <v>842</v>
      </c>
      <c r="K190" s="16">
        <v>73930</v>
      </c>
      <c r="L190" s="15"/>
      <c r="M190" s="15"/>
      <c r="N190" s="15"/>
      <c r="O190" s="15"/>
      <c r="P190" s="16"/>
      <c r="Q190" s="15"/>
      <c r="R190" s="15"/>
      <c r="S190" s="15"/>
      <c r="T190" s="13" t="s">
        <v>520</v>
      </c>
      <c r="U190" s="14">
        <v>5000</v>
      </c>
      <c r="V190" s="15"/>
      <c r="W190" s="15"/>
      <c r="X190" s="16"/>
      <c r="Y190" s="15"/>
      <c r="Z190" s="15"/>
      <c r="AA190" s="15"/>
      <c r="AB190" s="24" t="s">
        <v>207</v>
      </c>
      <c r="AC190" s="14">
        <v>5586</v>
      </c>
      <c r="AD190" s="15"/>
      <c r="AE190" s="15"/>
      <c r="AF190" s="24" t="s">
        <v>231</v>
      </c>
      <c r="AG190" s="16" t="s">
        <v>232</v>
      </c>
      <c r="AH190" s="15"/>
      <c r="AI190" s="14"/>
      <c r="AJ190" s="15"/>
      <c r="AK190" s="15"/>
      <c r="AL190" s="57"/>
      <c r="AM190" s="57"/>
      <c r="AN190" s="19"/>
      <c r="AO190" s="15"/>
      <c r="AP190" s="16"/>
      <c r="AQ190" s="21"/>
      <c r="AR190" s="149"/>
      <c r="AS190" s="149"/>
      <c r="AT190" s="26"/>
      <c r="AU190" s="26"/>
    </row>
    <row r="191" spans="1:47" s="51" customFormat="1" ht="13.5" thickBot="1">
      <c r="A191" s="82"/>
      <c r="B191" s="169" t="s">
        <v>21</v>
      </c>
      <c r="C191" s="170"/>
      <c r="D191" s="63">
        <v>78172.800000000003</v>
      </c>
      <c r="E191" s="63">
        <v>63628.11</v>
      </c>
      <c r="F191" s="64">
        <f>SUM(I191,M191,Q191,U191,Y191,AC191,AG191,AK191,AO191,AS191)</f>
        <v>17770</v>
      </c>
      <c r="G191" s="64">
        <v>73930</v>
      </c>
      <c r="H191" s="65"/>
      <c r="I191" s="65"/>
      <c r="J191" s="65"/>
      <c r="K191" s="65">
        <f>K190</f>
        <v>73930</v>
      </c>
      <c r="L191" s="65"/>
      <c r="M191" s="65"/>
      <c r="N191" s="65"/>
      <c r="O191" s="65"/>
      <c r="P191" s="65"/>
      <c r="Q191" s="65"/>
      <c r="R191" s="65"/>
      <c r="S191" s="65"/>
      <c r="T191" s="65"/>
      <c r="U191" s="66">
        <v>5000</v>
      </c>
      <c r="V191" s="65"/>
      <c r="W191" s="65"/>
      <c r="X191" s="65"/>
      <c r="Y191" s="65"/>
      <c r="Z191" s="65"/>
      <c r="AA191" s="65"/>
      <c r="AB191" s="65"/>
      <c r="AC191" s="66">
        <v>5586</v>
      </c>
      <c r="AD191" s="65"/>
      <c r="AE191" s="65"/>
      <c r="AF191" s="67"/>
      <c r="AG191" s="66">
        <v>7184</v>
      </c>
      <c r="AH191" s="65"/>
      <c r="AI191" s="66"/>
      <c r="AJ191" s="65"/>
      <c r="AK191" s="65"/>
      <c r="AL191" s="65"/>
      <c r="AM191" s="65"/>
      <c r="AN191" s="65"/>
      <c r="AO191" s="65"/>
      <c r="AP191" s="65"/>
      <c r="AQ191" s="66"/>
      <c r="AR191" s="69"/>
      <c r="AS191" s="69"/>
      <c r="AT191" s="71"/>
      <c r="AU191" s="71"/>
    </row>
    <row r="192" spans="1:47" s="51" customFormat="1" ht="102.75" thickTop="1">
      <c r="A192" s="80">
        <v>60</v>
      </c>
      <c r="B192" s="143" t="s">
        <v>14</v>
      </c>
      <c r="C192" s="269">
        <v>7</v>
      </c>
      <c r="D192" s="171"/>
      <c r="E192" s="171"/>
      <c r="F192" s="106"/>
      <c r="G192" s="106"/>
      <c r="H192" s="15"/>
      <c r="I192" s="15"/>
      <c r="J192" s="15"/>
      <c r="K192" s="15"/>
      <c r="L192" s="15"/>
      <c r="M192" s="15"/>
      <c r="N192" s="15"/>
      <c r="O192" s="15"/>
      <c r="P192" s="16"/>
      <c r="Q192" s="15"/>
      <c r="R192" s="15"/>
      <c r="S192" s="14"/>
      <c r="T192" s="13" t="s">
        <v>520</v>
      </c>
      <c r="U192" s="14">
        <v>5000</v>
      </c>
      <c r="V192" s="15"/>
      <c r="W192" s="15"/>
      <c r="X192" s="16"/>
      <c r="Y192" s="15"/>
      <c r="Z192" s="15"/>
      <c r="AA192" s="15"/>
      <c r="AB192" s="16"/>
      <c r="AC192" s="15"/>
      <c r="AD192" s="16"/>
      <c r="AE192" s="14"/>
      <c r="AF192" s="24"/>
      <c r="AG192" s="15"/>
      <c r="AH192" s="16" t="s">
        <v>846</v>
      </c>
      <c r="AI192" s="20" t="s">
        <v>845</v>
      </c>
      <c r="AJ192" s="175"/>
      <c r="AK192" s="15"/>
      <c r="AL192" s="15"/>
      <c r="AM192" s="15"/>
      <c r="AN192" s="24"/>
      <c r="AO192" s="15"/>
      <c r="AP192" s="16" t="s">
        <v>820</v>
      </c>
      <c r="AQ192" s="16" t="s">
        <v>844</v>
      </c>
      <c r="AR192" s="149"/>
      <c r="AS192" s="149"/>
      <c r="AT192" s="26"/>
      <c r="AU192" s="26"/>
    </row>
    <row r="193" spans="1:47" s="51" customFormat="1" ht="89.25">
      <c r="A193" s="81"/>
      <c r="B193" s="130"/>
      <c r="C193" s="267"/>
      <c r="D193" s="109"/>
      <c r="E193" s="109"/>
      <c r="F193" s="131"/>
      <c r="G193" s="107"/>
      <c r="H193" s="78"/>
      <c r="I193" s="78"/>
      <c r="J193" s="78"/>
      <c r="K193" s="78"/>
      <c r="L193" s="78"/>
      <c r="M193" s="78"/>
      <c r="N193" s="78"/>
      <c r="O193" s="78"/>
      <c r="P193" s="13"/>
      <c r="Q193" s="78"/>
      <c r="R193" s="78"/>
      <c r="S193" s="78"/>
      <c r="T193" s="18" t="s">
        <v>511</v>
      </c>
      <c r="U193" s="154">
        <v>9600</v>
      </c>
      <c r="V193" s="153" t="s">
        <v>843</v>
      </c>
      <c r="W193" s="153">
        <v>1366</v>
      </c>
      <c r="X193" s="78"/>
      <c r="Y193" s="78"/>
      <c r="Z193" s="78"/>
      <c r="AA193" s="78"/>
      <c r="AB193" s="78"/>
      <c r="AC193" s="78"/>
      <c r="AD193" s="78"/>
      <c r="AE193" s="78"/>
      <c r="AF193" s="25"/>
      <c r="AG193" s="78"/>
      <c r="AH193" s="78"/>
      <c r="AI193" s="154"/>
      <c r="AJ193" s="19"/>
      <c r="AK193" s="78"/>
      <c r="AL193" s="78"/>
      <c r="AM193" s="78"/>
      <c r="AN193" s="25"/>
      <c r="AO193" s="78"/>
      <c r="AP193" s="78"/>
      <c r="AQ193" s="78"/>
      <c r="AR193" s="22"/>
      <c r="AS193" s="22"/>
      <c r="AT193" s="50"/>
      <c r="AU193" s="50"/>
    </row>
    <row r="194" spans="1:47" s="51" customFormat="1" ht="13.5" thickBot="1">
      <c r="A194" s="82"/>
      <c r="B194" s="169" t="s">
        <v>21</v>
      </c>
      <c r="C194" s="170"/>
      <c r="D194" s="63">
        <v>111003.2</v>
      </c>
      <c r="E194" s="63">
        <v>26046.03</v>
      </c>
      <c r="F194" s="64">
        <f>SUM(I194,M194,Q194,U194,Y194,AC194,AG194,AK194,AO194,AS194)</f>
        <v>14600</v>
      </c>
      <c r="G194" s="64">
        <v>41373</v>
      </c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6"/>
      <c r="T194" s="65"/>
      <c r="U194" s="66">
        <v>14600</v>
      </c>
      <c r="V194" s="65"/>
      <c r="W194" s="65">
        <f>W193</f>
        <v>1366</v>
      </c>
      <c r="X194" s="65"/>
      <c r="Y194" s="65"/>
      <c r="Z194" s="65"/>
      <c r="AA194" s="65"/>
      <c r="AB194" s="65"/>
      <c r="AC194" s="65"/>
      <c r="AD194" s="65"/>
      <c r="AE194" s="66"/>
      <c r="AF194" s="67"/>
      <c r="AG194" s="65"/>
      <c r="AH194" s="65"/>
      <c r="AI194" s="66">
        <f>4632+2035+12606+1589+8944+2067</f>
        <v>31873</v>
      </c>
      <c r="AJ194" s="65"/>
      <c r="AK194" s="65"/>
      <c r="AL194" s="65"/>
      <c r="AM194" s="65"/>
      <c r="AN194" s="68"/>
      <c r="AO194" s="65"/>
      <c r="AP194" s="65"/>
      <c r="AQ194" s="65">
        <f>4379+3755</f>
        <v>8134</v>
      </c>
      <c r="AR194" s="69"/>
      <c r="AS194" s="69"/>
      <c r="AT194" s="71"/>
      <c r="AU194" s="71"/>
    </row>
    <row r="195" spans="1:47" s="51" customFormat="1" ht="153.75" thickTop="1">
      <c r="A195" s="80">
        <v>61</v>
      </c>
      <c r="B195" s="219" t="s">
        <v>14</v>
      </c>
      <c r="C195" s="258" t="s">
        <v>9</v>
      </c>
      <c r="D195" s="268"/>
      <c r="E195" s="268"/>
      <c r="F195" s="197"/>
      <c r="G195" s="197"/>
      <c r="H195" s="15"/>
      <c r="I195" s="15"/>
      <c r="J195" s="16" t="s">
        <v>850</v>
      </c>
      <c r="K195" s="14">
        <v>4590</v>
      </c>
      <c r="L195" s="15"/>
      <c r="M195" s="15"/>
      <c r="N195" s="15"/>
      <c r="O195" s="15"/>
      <c r="P195" s="15"/>
      <c r="Q195" s="15"/>
      <c r="R195" s="16" t="s">
        <v>851</v>
      </c>
      <c r="S195" s="20" t="s">
        <v>852</v>
      </c>
      <c r="T195" s="13" t="s">
        <v>514</v>
      </c>
      <c r="U195" s="14">
        <v>4000</v>
      </c>
      <c r="V195" s="16" t="s">
        <v>591</v>
      </c>
      <c r="W195" s="15">
        <f>5336+936+10147</f>
        <v>16419</v>
      </c>
      <c r="X195" s="15"/>
      <c r="Y195" s="15"/>
      <c r="Z195" s="15"/>
      <c r="AA195" s="15"/>
      <c r="AB195" s="24" t="s">
        <v>174</v>
      </c>
      <c r="AC195" s="14">
        <v>8379</v>
      </c>
      <c r="AD195" s="13" t="s">
        <v>849</v>
      </c>
      <c r="AE195" s="13">
        <f>3711</f>
        <v>3711</v>
      </c>
      <c r="AF195" s="19" t="s">
        <v>628</v>
      </c>
      <c r="AG195" s="16" t="s">
        <v>233</v>
      </c>
      <c r="AH195" s="16" t="s">
        <v>847</v>
      </c>
      <c r="AI195" s="14">
        <v>1700</v>
      </c>
      <c r="AJ195" s="175"/>
      <c r="AK195" s="15"/>
      <c r="AL195" s="57"/>
      <c r="AM195" s="57"/>
      <c r="AN195" s="25"/>
      <c r="AO195" s="15"/>
      <c r="AP195" s="16" t="s">
        <v>813</v>
      </c>
      <c r="AQ195" s="16" t="s">
        <v>848</v>
      </c>
      <c r="AR195" s="149"/>
      <c r="AS195" s="149"/>
      <c r="AT195" s="26"/>
      <c r="AU195" s="26"/>
    </row>
    <row r="196" spans="1:47" s="51" customFormat="1" ht="13.5" thickBot="1">
      <c r="A196" s="82"/>
      <c r="B196" s="169" t="s">
        <v>21</v>
      </c>
      <c r="C196" s="170"/>
      <c r="D196" s="63">
        <v>63223.68</v>
      </c>
      <c r="E196" s="63">
        <v>15623.66</v>
      </c>
      <c r="F196" s="64">
        <f>SUM(I196,M196,Q196,U196,Y196,AC196,AG196,AK196,AO196,AS196)</f>
        <v>38219</v>
      </c>
      <c r="G196" s="64">
        <v>112118</v>
      </c>
      <c r="H196" s="65"/>
      <c r="I196" s="65"/>
      <c r="J196" s="65"/>
      <c r="K196" s="66">
        <f>K195</f>
        <v>4590</v>
      </c>
      <c r="L196" s="65"/>
      <c r="M196" s="65"/>
      <c r="N196" s="65"/>
      <c r="O196" s="65"/>
      <c r="P196" s="65"/>
      <c r="Q196" s="65"/>
      <c r="R196" s="65"/>
      <c r="S196" s="66">
        <f>19461+8530</f>
        <v>27991</v>
      </c>
      <c r="T196" s="65"/>
      <c r="U196" s="66">
        <v>4000</v>
      </c>
      <c r="V196" s="68"/>
      <c r="W196" s="65">
        <f>W195</f>
        <v>16419</v>
      </c>
      <c r="X196" s="65"/>
      <c r="Y196" s="65"/>
      <c r="Z196" s="65"/>
      <c r="AA196" s="65"/>
      <c r="AB196" s="65"/>
      <c r="AC196" s="66">
        <v>8379</v>
      </c>
      <c r="AD196" s="65"/>
      <c r="AE196" s="65">
        <f>AE195</f>
        <v>3711</v>
      </c>
      <c r="AF196" s="193"/>
      <c r="AG196" s="66">
        <v>25840</v>
      </c>
      <c r="AH196" s="65"/>
      <c r="AI196" s="66">
        <f>AI195</f>
        <v>1700</v>
      </c>
      <c r="AJ196" s="65"/>
      <c r="AK196" s="65"/>
      <c r="AL196" s="65"/>
      <c r="AM196" s="65"/>
      <c r="AN196" s="68"/>
      <c r="AO196" s="65"/>
      <c r="AP196" s="65"/>
      <c r="AQ196" s="65">
        <f>21581.5+21581.5+7272+7272</f>
        <v>57707</v>
      </c>
      <c r="AR196" s="69"/>
      <c r="AS196" s="69"/>
      <c r="AT196" s="71"/>
      <c r="AU196" s="71"/>
    </row>
    <row r="197" spans="1:47" s="51" customFormat="1" ht="64.5" thickTop="1">
      <c r="A197" s="80">
        <v>62</v>
      </c>
      <c r="B197" s="220" t="s">
        <v>14</v>
      </c>
      <c r="C197" s="258">
        <v>9</v>
      </c>
      <c r="D197" s="259"/>
      <c r="E197" s="259"/>
      <c r="F197" s="75"/>
      <c r="G197" s="75"/>
      <c r="H197" s="16"/>
      <c r="I197" s="15"/>
      <c r="J197" s="15"/>
      <c r="K197" s="15"/>
      <c r="L197" s="15"/>
      <c r="M197" s="15"/>
      <c r="N197" s="15"/>
      <c r="O197" s="15"/>
      <c r="P197" s="16"/>
      <c r="Q197" s="15"/>
      <c r="R197" s="15"/>
      <c r="S197" s="15"/>
      <c r="T197" s="13" t="s">
        <v>503</v>
      </c>
      <c r="U197" s="14">
        <v>6000</v>
      </c>
      <c r="V197" s="16"/>
      <c r="W197" s="14"/>
      <c r="X197" s="15"/>
      <c r="Y197" s="15"/>
      <c r="Z197" s="15"/>
      <c r="AA197" s="15"/>
      <c r="AB197" s="24" t="s">
        <v>41</v>
      </c>
      <c r="AC197" s="14">
        <v>11172</v>
      </c>
      <c r="AD197" s="13" t="s">
        <v>854</v>
      </c>
      <c r="AE197" s="21">
        <v>4190</v>
      </c>
      <c r="AF197" s="19"/>
      <c r="AG197" s="16"/>
      <c r="AH197" s="16" t="s">
        <v>853</v>
      </c>
      <c r="AI197" s="15">
        <v>4475</v>
      </c>
      <c r="AJ197" s="175"/>
      <c r="AK197" s="15"/>
      <c r="AL197" s="57"/>
      <c r="AM197" s="57"/>
      <c r="AN197" s="25"/>
      <c r="AO197" s="15"/>
      <c r="AP197" s="15"/>
      <c r="AQ197" s="15"/>
      <c r="AR197" s="149"/>
      <c r="AS197" s="149"/>
      <c r="AT197" s="146" t="s">
        <v>855</v>
      </c>
      <c r="AU197" s="26">
        <v>5300</v>
      </c>
    </row>
    <row r="198" spans="1:47" s="51" customFormat="1" ht="13.5" thickBot="1">
      <c r="A198" s="82"/>
      <c r="B198" s="169" t="s">
        <v>21</v>
      </c>
      <c r="C198" s="170"/>
      <c r="D198" s="63">
        <v>80158.399999999994</v>
      </c>
      <c r="E198" s="63">
        <v>42547.11</v>
      </c>
      <c r="F198" s="64">
        <f>SUM(I198,M198,Q198,U198,Y198,AC198,AG198,AK198,AO198,AS198)</f>
        <v>17172</v>
      </c>
      <c r="G198" s="64">
        <v>13965</v>
      </c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6">
        <v>6000</v>
      </c>
      <c r="V198" s="65"/>
      <c r="W198" s="66"/>
      <c r="X198" s="65"/>
      <c r="Y198" s="65"/>
      <c r="Z198" s="65"/>
      <c r="AA198" s="65"/>
      <c r="AB198" s="65"/>
      <c r="AC198" s="66">
        <v>11172</v>
      </c>
      <c r="AD198" s="65"/>
      <c r="AE198" s="66">
        <f>AE197</f>
        <v>4190</v>
      </c>
      <c r="AF198" s="67"/>
      <c r="AG198" s="66"/>
      <c r="AH198" s="65"/>
      <c r="AI198" s="65">
        <f>AI197</f>
        <v>4475</v>
      </c>
      <c r="AJ198" s="65"/>
      <c r="AK198" s="65"/>
      <c r="AL198" s="65"/>
      <c r="AM198" s="65"/>
      <c r="AN198" s="65"/>
      <c r="AO198" s="65"/>
      <c r="AP198" s="65"/>
      <c r="AQ198" s="65"/>
      <c r="AR198" s="69"/>
      <c r="AS198" s="69"/>
      <c r="AT198" s="71"/>
      <c r="AU198" s="71">
        <f>AU197</f>
        <v>5300</v>
      </c>
    </row>
    <row r="199" spans="1:47" s="51" customFormat="1" ht="115.5" thickTop="1">
      <c r="A199" s="80">
        <v>63</v>
      </c>
      <c r="B199" s="143" t="s">
        <v>14</v>
      </c>
      <c r="C199" s="269">
        <v>12</v>
      </c>
      <c r="D199" s="171"/>
      <c r="E199" s="171"/>
      <c r="F199" s="106"/>
      <c r="G199" s="106"/>
      <c r="H199" s="16" t="s">
        <v>132</v>
      </c>
      <c r="I199" s="14">
        <v>1300</v>
      </c>
      <c r="J199" s="16"/>
      <c r="K199" s="16"/>
      <c r="L199" s="15"/>
      <c r="M199" s="15"/>
      <c r="N199" s="15"/>
      <c r="O199" s="15"/>
      <c r="P199" s="15"/>
      <c r="Q199" s="15"/>
      <c r="R199" s="16" t="s">
        <v>856</v>
      </c>
      <c r="S199" s="15">
        <v>3498</v>
      </c>
      <c r="T199" s="13" t="s">
        <v>503</v>
      </c>
      <c r="U199" s="14">
        <v>6000</v>
      </c>
      <c r="V199" s="16" t="s">
        <v>490</v>
      </c>
      <c r="W199" s="15">
        <v>406</v>
      </c>
      <c r="X199" s="18" t="s">
        <v>548</v>
      </c>
      <c r="Y199" s="14">
        <v>100000</v>
      </c>
      <c r="Z199" s="16" t="s">
        <v>399</v>
      </c>
      <c r="AA199" s="16">
        <v>102005</v>
      </c>
      <c r="AB199" s="16"/>
      <c r="AC199" s="15"/>
      <c r="AD199" s="13"/>
      <c r="AE199" s="21"/>
      <c r="AF199" s="19" t="s">
        <v>234</v>
      </c>
      <c r="AG199" s="16" t="s">
        <v>235</v>
      </c>
      <c r="AH199" s="16" t="s">
        <v>436</v>
      </c>
      <c r="AI199" s="20">
        <f>2617+2462+22351</f>
        <v>27430</v>
      </c>
      <c r="AJ199" s="15"/>
      <c r="AK199" s="15"/>
      <c r="AL199" s="57"/>
      <c r="AM199" s="57"/>
      <c r="AN199" s="25"/>
      <c r="AO199" s="15"/>
      <c r="AP199" s="16"/>
      <c r="AQ199" s="16"/>
      <c r="AR199" s="149"/>
      <c r="AS199" s="149"/>
      <c r="AT199" s="26"/>
      <c r="AU199" s="26"/>
    </row>
    <row r="200" spans="1:47" s="51" customFormat="1" ht="89.25">
      <c r="A200" s="81"/>
      <c r="B200" s="130"/>
      <c r="C200" s="267"/>
      <c r="D200" s="109"/>
      <c r="E200" s="109"/>
      <c r="F200" s="131"/>
      <c r="G200" s="131"/>
      <c r="H200" s="153"/>
      <c r="I200" s="154"/>
      <c r="J200" s="153"/>
      <c r="K200" s="153"/>
      <c r="L200" s="78"/>
      <c r="M200" s="78"/>
      <c r="N200" s="78"/>
      <c r="O200" s="78"/>
      <c r="P200" s="78"/>
      <c r="Q200" s="78"/>
      <c r="R200" s="78"/>
      <c r="S200" s="78"/>
      <c r="T200" s="18" t="s">
        <v>511</v>
      </c>
      <c r="U200" s="154">
        <v>9600</v>
      </c>
      <c r="V200" s="153" t="s">
        <v>515</v>
      </c>
      <c r="W200" s="78">
        <v>2174</v>
      </c>
      <c r="X200" s="134"/>
      <c r="Y200" s="154"/>
      <c r="Z200" s="78"/>
      <c r="AA200" s="78"/>
      <c r="AB200" s="153"/>
      <c r="AC200" s="78"/>
      <c r="AD200" s="153"/>
      <c r="AE200" s="154"/>
      <c r="AF200" s="136"/>
      <c r="AG200" s="153"/>
      <c r="AH200" s="153"/>
      <c r="AI200" s="154"/>
      <c r="AJ200" s="78"/>
      <c r="AK200" s="78"/>
      <c r="AL200" s="78"/>
      <c r="AM200" s="78"/>
      <c r="AN200" s="181"/>
      <c r="AO200" s="78"/>
      <c r="AP200" s="153"/>
      <c r="AQ200" s="153"/>
      <c r="AR200" s="158"/>
      <c r="AS200" s="158"/>
      <c r="AT200" s="159"/>
      <c r="AU200" s="159"/>
    </row>
    <row r="201" spans="1:47" s="51" customFormat="1" ht="13.5" thickBot="1">
      <c r="A201" s="82"/>
      <c r="B201" s="169" t="s">
        <v>21</v>
      </c>
      <c r="C201" s="170"/>
      <c r="D201" s="63">
        <v>123156.2</v>
      </c>
      <c r="E201" s="63">
        <v>15923.35</v>
      </c>
      <c r="F201" s="64">
        <f>SUM(I201,M201,Q201,U201,Y201,AC201,AG201,AK201,AO201,AS201)</f>
        <v>132658</v>
      </c>
      <c r="G201" s="64">
        <v>135513</v>
      </c>
      <c r="H201" s="65"/>
      <c r="I201" s="66">
        <v>1300</v>
      </c>
      <c r="J201" s="65"/>
      <c r="K201" s="66"/>
      <c r="L201" s="65"/>
      <c r="M201" s="65"/>
      <c r="N201" s="65"/>
      <c r="O201" s="65"/>
      <c r="P201" s="65"/>
      <c r="Q201" s="65"/>
      <c r="R201" s="65"/>
      <c r="S201" s="65">
        <f>S199</f>
        <v>3498</v>
      </c>
      <c r="T201" s="65"/>
      <c r="U201" s="66">
        <v>15600</v>
      </c>
      <c r="V201" s="65"/>
      <c r="W201" s="65">
        <f>2174+406</f>
        <v>2580</v>
      </c>
      <c r="X201" s="65"/>
      <c r="Y201" s="66">
        <v>100000</v>
      </c>
      <c r="Z201" s="65"/>
      <c r="AA201" s="65">
        <v>102005</v>
      </c>
      <c r="AB201" s="65"/>
      <c r="AC201" s="65"/>
      <c r="AD201" s="65"/>
      <c r="AE201" s="66"/>
      <c r="AF201" s="67"/>
      <c r="AG201" s="66">
        <v>15758</v>
      </c>
      <c r="AH201" s="65"/>
      <c r="AI201" s="66">
        <f>AI199</f>
        <v>27430</v>
      </c>
      <c r="AJ201" s="65"/>
      <c r="AK201" s="65"/>
      <c r="AL201" s="65"/>
      <c r="AM201" s="65"/>
      <c r="AN201" s="65"/>
      <c r="AO201" s="65"/>
      <c r="AP201" s="65"/>
      <c r="AQ201" s="66"/>
      <c r="AR201" s="69"/>
      <c r="AS201" s="69"/>
      <c r="AT201" s="71"/>
      <c r="AU201" s="71"/>
    </row>
    <row r="202" spans="1:47" s="51" customFormat="1" ht="102.75" thickTop="1">
      <c r="A202" s="80">
        <v>64</v>
      </c>
      <c r="B202" s="220" t="s">
        <v>14</v>
      </c>
      <c r="C202" s="258">
        <v>13</v>
      </c>
      <c r="D202" s="259"/>
      <c r="E202" s="259"/>
      <c r="F202" s="75"/>
      <c r="G202" s="75"/>
      <c r="H202" s="16" t="s">
        <v>135</v>
      </c>
      <c r="I202" s="14">
        <v>25000</v>
      </c>
      <c r="J202" s="15"/>
      <c r="K202" s="15"/>
      <c r="L202" s="15"/>
      <c r="M202" s="15"/>
      <c r="N202" s="15"/>
      <c r="O202" s="15"/>
      <c r="P202" s="16"/>
      <c r="Q202" s="15"/>
      <c r="R202" s="15"/>
      <c r="S202" s="15"/>
      <c r="T202" s="13" t="s">
        <v>520</v>
      </c>
      <c r="U202" s="14">
        <v>5000</v>
      </c>
      <c r="V202" s="16" t="s">
        <v>858</v>
      </c>
      <c r="W202" s="16" t="s">
        <v>857</v>
      </c>
      <c r="X202" s="260"/>
      <c r="Y202" s="15"/>
      <c r="Z202" s="16" t="s">
        <v>859</v>
      </c>
      <c r="AA202" s="15">
        <v>65369</v>
      </c>
      <c r="AB202" s="24" t="s">
        <v>238</v>
      </c>
      <c r="AC202" s="14">
        <v>10241</v>
      </c>
      <c r="AD202" s="15"/>
      <c r="AE202" s="15"/>
      <c r="AF202" s="24" t="s">
        <v>236</v>
      </c>
      <c r="AG202" s="16" t="s">
        <v>237</v>
      </c>
      <c r="AH202" s="16" t="s">
        <v>860</v>
      </c>
      <c r="AI202" s="20">
        <v>5706</v>
      </c>
      <c r="AJ202" s="175"/>
      <c r="AK202" s="15"/>
      <c r="AL202" s="57"/>
      <c r="AM202" s="57"/>
      <c r="AN202" s="25"/>
      <c r="AO202" s="15"/>
      <c r="AP202" s="15" t="s">
        <v>794</v>
      </c>
      <c r="AQ202" s="15">
        <v>2164</v>
      </c>
      <c r="AR202" s="149"/>
      <c r="AS202" s="149"/>
      <c r="AT202" s="26"/>
      <c r="AU202" s="26"/>
    </row>
    <row r="203" spans="1:47" s="51" customFormat="1" ht="13.5" thickBot="1">
      <c r="A203" s="82"/>
      <c r="B203" s="169" t="s">
        <v>21</v>
      </c>
      <c r="C203" s="170"/>
      <c r="D203" s="63">
        <v>109191.7</v>
      </c>
      <c r="E203" s="63">
        <v>-58454.11</v>
      </c>
      <c r="F203" s="64">
        <f>SUM(I203,M203,Q203,U203,Y203,AC203,AG203,AK203,AO203,AS203)</f>
        <v>68798</v>
      </c>
      <c r="G203" s="64">
        <v>74878</v>
      </c>
      <c r="H203" s="65"/>
      <c r="I203" s="66">
        <v>25000</v>
      </c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6">
        <v>5000</v>
      </c>
      <c r="V203" s="65"/>
      <c r="W203" s="66">
        <f>1366+273</f>
        <v>1639</v>
      </c>
      <c r="X203" s="65"/>
      <c r="Y203" s="65"/>
      <c r="Z203" s="65"/>
      <c r="AA203" s="65">
        <f>AA202</f>
        <v>65369</v>
      </c>
      <c r="AB203" s="65"/>
      <c r="AC203" s="66">
        <v>10241</v>
      </c>
      <c r="AD203" s="65"/>
      <c r="AE203" s="66"/>
      <c r="AF203" s="67"/>
      <c r="AG203" s="66">
        <v>28557</v>
      </c>
      <c r="AH203" s="65"/>
      <c r="AI203" s="66">
        <v>5706</v>
      </c>
      <c r="AJ203" s="65"/>
      <c r="AK203" s="65"/>
      <c r="AL203" s="65"/>
      <c r="AM203" s="65"/>
      <c r="AN203" s="65"/>
      <c r="AO203" s="65"/>
      <c r="AP203" s="65"/>
      <c r="AQ203" s="66">
        <f>AQ202</f>
        <v>2164</v>
      </c>
      <c r="AR203" s="69"/>
      <c r="AS203" s="69"/>
      <c r="AT203" s="71"/>
      <c r="AU203" s="71"/>
    </row>
    <row r="204" spans="1:47" s="51" customFormat="1" ht="115.5" thickTop="1">
      <c r="A204" s="80">
        <v>65</v>
      </c>
      <c r="B204" s="143" t="s">
        <v>14</v>
      </c>
      <c r="C204" s="269">
        <v>14</v>
      </c>
      <c r="D204" s="171"/>
      <c r="E204" s="171"/>
      <c r="F204" s="106"/>
      <c r="G204" s="106"/>
      <c r="H204" s="13" t="s">
        <v>121</v>
      </c>
      <c r="I204" s="14">
        <v>5200</v>
      </c>
      <c r="J204" s="16" t="s">
        <v>306</v>
      </c>
      <c r="K204" s="16">
        <v>3508</v>
      </c>
      <c r="L204" s="15"/>
      <c r="M204" s="15"/>
      <c r="N204" s="57"/>
      <c r="O204" s="57"/>
      <c r="P204" s="13"/>
      <c r="Q204" s="277"/>
      <c r="R204" s="278" t="s">
        <v>856</v>
      </c>
      <c r="S204" s="279">
        <v>2877</v>
      </c>
      <c r="T204" s="13" t="s">
        <v>503</v>
      </c>
      <c r="U204" s="14">
        <v>6000</v>
      </c>
      <c r="V204" s="15"/>
      <c r="W204" s="15"/>
      <c r="X204" s="15"/>
      <c r="Y204" s="15"/>
      <c r="Z204" s="15"/>
      <c r="AA204" s="15"/>
      <c r="AB204" s="24" t="s">
        <v>174</v>
      </c>
      <c r="AC204" s="21">
        <v>8379</v>
      </c>
      <c r="AD204" s="13"/>
      <c r="AE204" s="21"/>
      <c r="AF204" s="24" t="s">
        <v>629</v>
      </c>
      <c r="AG204" s="16" t="s">
        <v>240</v>
      </c>
      <c r="AH204" s="16" t="s">
        <v>630</v>
      </c>
      <c r="AI204" s="20">
        <f>6494+6243</f>
        <v>12737</v>
      </c>
      <c r="AJ204" s="14"/>
      <c r="AK204" s="15"/>
      <c r="AL204" s="15"/>
      <c r="AM204" s="15"/>
      <c r="AN204" s="24" t="s">
        <v>239</v>
      </c>
      <c r="AO204" s="14">
        <v>7176</v>
      </c>
      <c r="AP204" s="16" t="s">
        <v>343</v>
      </c>
      <c r="AQ204" s="15">
        <v>3902</v>
      </c>
      <c r="AR204" s="149"/>
      <c r="AS204" s="149"/>
      <c r="AT204" s="146">
        <v>32</v>
      </c>
      <c r="AU204" s="234">
        <f>85405.5+32826.5</f>
        <v>118232</v>
      </c>
    </row>
    <row r="205" spans="1:47" s="51" customFormat="1" ht="89.25">
      <c r="A205" s="81"/>
      <c r="B205" s="130"/>
      <c r="C205" s="267"/>
      <c r="D205" s="109"/>
      <c r="E205" s="109"/>
      <c r="F205" s="131"/>
      <c r="G205" s="107"/>
      <c r="H205" s="78"/>
      <c r="I205" s="78"/>
      <c r="J205" s="78"/>
      <c r="K205" s="78"/>
      <c r="L205" s="78"/>
      <c r="M205" s="78"/>
      <c r="N205" s="78"/>
      <c r="O205" s="78"/>
      <c r="P205" s="78"/>
      <c r="Q205" s="280"/>
      <c r="R205" s="280"/>
      <c r="S205" s="281"/>
      <c r="T205" s="18" t="s">
        <v>511</v>
      </c>
      <c r="U205" s="154">
        <v>9600</v>
      </c>
      <c r="V205" s="153" t="s">
        <v>861</v>
      </c>
      <c r="W205" s="78">
        <v>5680</v>
      </c>
      <c r="X205" s="78"/>
      <c r="Y205" s="78"/>
      <c r="Z205" s="78"/>
      <c r="AA205" s="78"/>
      <c r="AB205" s="78"/>
      <c r="AC205" s="78"/>
      <c r="AD205" s="78"/>
      <c r="AE205" s="78"/>
      <c r="AF205" s="181"/>
      <c r="AG205" s="78"/>
      <c r="AH205" s="153" t="s">
        <v>437</v>
      </c>
      <c r="AI205" s="78">
        <v>4259</v>
      </c>
      <c r="AJ205" s="78"/>
      <c r="AK205" s="78"/>
      <c r="AL205" s="78"/>
      <c r="AM205" s="78"/>
      <c r="AN205" s="25"/>
      <c r="AO205" s="78"/>
      <c r="AP205" s="78"/>
      <c r="AQ205" s="78"/>
      <c r="AR205" s="22"/>
      <c r="AS205" s="22"/>
      <c r="AT205" s="50"/>
      <c r="AU205" s="50"/>
    </row>
    <row r="206" spans="1:47" s="51" customFormat="1" ht="13.5" thickBot="1">
      <c r="A206" s="82"/>
      <c r="B206" s="169" t="s">
        <v>21</v>
      </c>
      <c r="C206" s="170"/>
      <c r="D206" s="63">
        <v>113679.7</v>
      </c>
      <c r="E206" s="63">
        <v>45721.87</v>
      </c>
      <c r="F206" s="64">
        <f>SUM(I206,M206,Q206,U206,Y206,AC206,AG206,AK206,AO206,AS206)</f>
        <v>77163</v>
      </c>
      <c r="G206" s="64">
        <v>151195</v>
      </c>
      <c r="H206" s="65"/>
      <c r="I206" s="66">
        <v>5200</v>
      </c>
      <c r="J206" s="65"/>
      <c r="K206" s="65">
        <v>3508</v>
      </c>
      <c r="L206" s="65"/>
      <c r="M206" s="65"/>
      <c r="N206" s="65"/>
      <c r="O206" s="65"/>
      <c r="P206" s="65"/>
      <c r="Q206" s="282"/>
      <c r="R206" s="282"/>
      <c r="S206" s="283">
        <f>S204</f>
        <v>2877</v>
      </c>
      <c r="T206" s="65"/>
      <c r="U206" s="66">
        <v>15600</v>
      </c>
      <c r="V206" s="65"/>
      <c r="W206" s="65">
        <f>W205</f>
        <v>5680</v>
      </c>
      <c r="X206" s="65"/>
      <c r="Y206" s="65"/>
      <c r="Z206" s="65"/>
      <c r="AA206" s="65"/>
      <c r="AB206" s="65"/>
      <c r="AC206" s="66">
        <v>8379</v>
      </c>
      <c r="AD206" s="65"/>
      <c r="AE206" s="66"/>
      <c r="AF206" s="67"/>
      <c r="AG206" s="66">
        <v>40808</v>
      </c>
      <c r="AH206" s="65"/>
      <c r="AI206" s="66">
        <f>AI204+AI205</f>
        <v>16996</v>
      </c>
      <c r="AJ206" s="65"/>
      <c r="AK206" s="65"/>
      <c r="AL206" s="65"/>
      <c r="AM206" s="65"/>
      <c r="AN206" s="65"/>
      <c r="AO206" s="66">
        <v>7176</v>
      </c>
      <c r="AP206" s="65"/>
      <c r="AQ206" s="65">
        <v>3902</v>
      </c>
      <c r="AR206" s="69"/>
      <c r="AS206" s="69"/>
      <c r="AT206" s="71"/>
      <c r="AU206" s="71">
        <f>AU204</f>
        <v>118232</v>
      </c>
    </row>
    <row r="207" spans="1:47" s="51" customFormat="1" ht="128.25" thickTop="1">
      <c r="A207" s="80">
        <v>66</v>
      </c>
      <c r="B207" s="219" t="s">
        <v>14</v>
      </c>
      <c r="C207" s="258">
        <v>22</v>
      </c>
      <c r="D207" s="268"/>
      <c r="E207" s="268"/>
      <c r="F207" s="197"/>
      <c r="G207" s="197"/>
      <c r="H207" s="15"/>
      <c r="I207" s="15"/>
      <c r="J207" s="16"/>
      <c r="K207" s="20"/>
      <c r="L207" s="15"/>
      <c r="M207" s="15"/>
      <c r="N207" s="57"/>
      <c r="O207" s="57"/>
      <c r="P207" s="13" t="s">
        <v>555</v>
      </c>
      <c r="Q207" s="14">
        <v>19200</v>
      </c>
      <c r="R207" s="13" t="s">
        <v>555</v>
      </c>
      <c r="S207" s="20" t="s">
        <v>863</v>
      </c>
      <c r="T207" s="13" t="s">
        <v>553</v>
      </c>
      <c r="U207" s="14">
        <v>5500</v>
      </c>
      <c r="V207" s="16" t="s">
        <v>862</v>
      </c>
      <c r="W207" s="14">
        <v>102</v>
      </c>
      <c r="X207" s="18" t="s">
        <v>556</v>
      </c>
      <c r="Y207" s="14">
        <v>120000</v>
      </c>
      <c r="Z207" s="16" t="s">
        <v>398</v>
      </c>
      <c r="AA207" s="15">
        <v>68485</v>
      </c>
      <c r="AB207" s="24" t="s">
        <v>210</v>
      </c>
      <c r="AC207" s="14">
        <v>7448</v>
      </c>
      <c r="AD207" s="13" t="s">
        <v>463</v>
      </c>
      <c r="AE207" s="57">
        <v>3751</v>
      </c>
      <c r="AF207" s="25" t="s">
        <v>643</v>
      </c>
      <c r="AG207" s="16" t="s">
        <v>241</v>
      </c>
      <c r="AH207" s="16" t="s">
        <v>568</v>
      </c>
      <c r="AI207" s="20">
        <f>2289+52277+2977+6194</f>
        <v>63737</v>
      </c>
      <c r="AJ207" s="175"/>
      <c r="AK207" s="15"/>
      <c r="AL207" s="57"/>
      <c r="AM207" s="57"/>
      <c r="AN207" s="25"/>
      <c r="AO207" s="15"/>
      <c r="AP207" s="15"/>
      <c r="AQ207" s="14"/>
      <c r="AR207" s="149"/>
      <c r="AS207" s="149"/>
      <c r="AT207" s="26"/>
      <c r="AU207" s="26"/>
    </row>
    <row r="208" spans="1:47" s="51" customFormat="1" ht="13.5" thickBot="1">
      <c r="A208" s="82"/>
      <c r="B208" s="169" t="s">
        <v>21</v>
      </c>
      <c r="C208" s="170"/>
      <c r="D208" s="63">
        <v>114626.2</v>
      </c>
      <c r="E208" s="63">
        <v>-62605.3</v>
      </c>
      <c r="F208" s="64">
        <f>SUM(I208,M208,Q208,U208,Y208,AC208,AG208,AK208,AO208,AS208)</f>
        <v>206290</v>
      </c>
      <c r="G208" s="64">
        <v>161978</v>
      </c>
      <c r="H208" s="65"/>
      <c r="I208" s="65"/>
      <c r="J208" s="68"/>
      <c r="K208" s="66"/>
      <c r="L208" s="65"/>
      <c r="M208" s="65"/>
      <c r="N208" s="65"/>
      <c r="O208" s="65"/>
      <c r="P208" s="65"/>
      <c r="Q208" s="66">
        <v>19200</v>
      </c>
      <c r="R208" s="65"/>
      <c r="S208" s="66">
        <f>19849+6054</f>
        <v>25903</v>
      </c>
      <c r="T208" s="65"/>
      <c r="U208" s="66">
        <v>5500</v>
      </c>
      <c r="V208" s="65"/>
      <c r="W208" s="66">
        <f>W207</f>
        <v>102</v>
      </c>
      <c r="X208" s="65"/>
      <c r="Y208" s="66">
        <v>120000</v>
      </c>
      <c r="Z208" s="65"/>
      <c r="AA208" s="65">
        <v>68485</v>
      </c>
      <c r="AB208" s="65"/>
      <c r="AC208" s="66">
        <v>7448</v>
      </c>
      <c r="AD208" s="65"/>
      <c r="AE208" s="65">
        <f>AE207</f>
        <v>3751</v>
      </c>
      <c r="AF208" s="193"/>
      <c r="AG208" s="66">
        <v>54142</v>
      </c>
      <c r="AH208" s="65"/>
      <c r="AI208" s="66">
        <v>63737</v>
      </c>
      <c r="AJ208" s="65"/>
      <c r="AK208" s="65"/>
      <c r="AL208" s="65"/>
      <c r="AM208" s="65"/>
      <c r="AN208" s="65"/>
      <c r="AO208" s="65"/>
      <c r="AP208" s="65"/>
      <c r="AQ208" s="66"/>
      <c r="AR208" s="69"/>
      <c r="AS208" s="69"/>
      <c r="AT208" s="71"/>
      <c r="AU208" s="71"/>
    </row>
    <row r="209" spans="1:47" s="51" customFormat="1" ht="77.25" thickTop="1">
      <c r="A209" s="80">
        <v>67</v>
      </c>
      <c r="B209" s="143" t="s">
        <v>14</v>
      </c>
      <c r="C209" s="269">
        <v>24</v>
      </c>
      <c r="D209" s="171"/>
      <c r="E209" s="171"/>
      <c r="F209" s="284"/>
      <c r="G209" s="284"/>
      <c r="H209" s="16"/>
      <c r="I209" s="15"/>
      <c r="J209" s="15"/>
      <c r="K209" s="15"/>
      <c r="L209" s="15"/>
      <c r="M209" s="15"/>
      <c r="N209" s="57"/>
      <c r="O209" s="57"/>
      <c r="P209" s="13" t="s">
        <v>554</v>
      </c>
      <c r="Q209" s="14">
        <v>7680</v>
      </c>
      <c r="R209" s="13" t="s">
        <v>554</v>
      </c>
      <c r="S209" s="15">
        <v>9043</v>
      </c>
      <c r="T209" s="13" t="s">
        <v>553</v>
      </c>
      <c r="U209" s="14">
        <v>5500</v>
      </c>
      <c r="V209" s="16"/>
      <c r="W209" s="14"/>
      <c r="X209" s="16"/>
      <c r="Y209" s="15"/>
      <c r="Z209" s="15"/>
      <c r="AA209" s="15"/>
      <c r="AB209" s="24" t="s">
        <v>210</v>
      </c>
      <c r="AC209" s="21">
        <v>7448</v>
      </c>
      <c r="AD209" s="13"/>
      <c r="AE209" s="21"/>
      <c r="AF209" s="24" t="s">
        <v>637</v>
      </c>
      <c r="AG209" s="16" t="s">
        <v>283</v>
      </c>
      <c r="AH209" s="13"/>
      <c r="AI209" s="21"/>
      <c r="AJ209" s="19"/>
      <c r="AK209" s="15"/>
      <c r="AL209" s="57"/>
      <c r="AM209" s="57"/>
      <c r="AN209" s="25"/>
      <c r="AO209" s="15"/>
      <c r="AP209" s="57"/>
      <c r="AQ209" s="57"/>
      <c r="AR209" s="149"/>
      <c r="AS209" s="149"/>
      <c r="AT209" s="26"/>
      <c r="AU209" s="26"/>
    </row>
    <row r="210" spans="1:47" s="51" customFormat="1" ht="89.25">
      <c r="A210" s="81"/>
      <c r="B210" s="184"/>
      <c r="C210" s="266"/>
      <c r="D210" s="108"/>
      <c r="E210" s="108"/>
      <c r="F210" s="285"/>
      <c r="G210" s="285"/>
      <c r="H210" s="18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8" t="s">
        <v>499</v>
      </c>
      <c r="U210" s="127">
        <v>6400</v>
      </c>
      <c r="V210" s="125"/>
      <c r="W210" s="125"/>
      <c r="X210" s="18"/>
      <c r="Y210" s="125"/>
      <c r="Z210" s="125"/>
      <c r="AA210" s="125"/>
      <c r="AB210" s="125"/>
      <c r="AC210" s="125"/>
      <c r="AD210" s="125"/>
      <c r="AE210" s="125"/>
      <c r="AF210" s="25" t="s">
        <v>281</v>
      </c>
      <c r="AG210" s="18" t="s">
        <v>282</v>
      </c>
      <c r="AH210" s="18" t="s">
        <v>672</v>
      </c>
      <c r="AI210" s="18">
        <f>2550+1420+1807</f>
        <v>5777</v>
      </c>
      <c r="AJ210" s="125"/>
      <c r="AK210" s="125"/>
      <c r="AL210" s="125"/>
      <c r="AM210" s="125"/>
      <c r="AN210" s="125"/>
      <c r="AO210" s="125"/>
      <c r="AP210" s="125"/>
      <c r="AQ210" s="125"/>
      <c r="AR210" s="22"/>
      <c r="AS210" s="22"/>
      <c r="AT210" s="50"/>
      <c r="AU210" s="50"/>
    </row>
    <row r="211" spans="1:47" s="51" customFormat="1" ht="127.5">
      <c r="A211" s="81"/>
      <c r="B211" s="184"/>
      <c r="C211" s="266"/>
      <c r="D211" s="108"/>
      <c r="E211" s="108"/>
      <c r="F211" s="285"/>
      <c r="G211" s="285"/>
      <c r="H211" s="18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8" t="s">
        <v>596</v>
      </c>
      <c r="U211" s="127">
        <v>6500</v>
      </c>
      <c r="V211" s="125"/>
      <c r="W211" s="125"/>
      <c r="X211" s="18"/>
      <c r="Y211" s="125"/>
      <c r="Z211" s="125"/>
      <c r="AA211" s="125"/>
      <c r="AB211" s="125"/>
      <c r="AC211" s="125"/>
      <c r="AD211" s="125"/>
      <c r="AE211" s="125"/>
      <c r="AF211" s="25"/>
      <c r="AG211" s="125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22"/>
      <c r="AS211" s="22"/>
      <c r="AT211" s="50"/>
      <c r="AU211" s="50"/>
    </row>
    <row r="212" spans="1:47" s="51" customFormat="1" ht="63.75">
      <c r="A212" s="81"/>
      <c r="B212" s="130"/>
      <c r="C212" s="267"/>
      <c r="D212" s="109"/>
      <c r="E212" s="109"/>
      <c r="F212" s="286"/>
      <c r="G212" s="286"/>
      <c r="H212" s="153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18" t="s">
        <v>500</v>
      </c>
      <c r="U212" s="154">
        <v>10000</v>
      </c>
      <c r="V212" s="78"/>
      <c r="W212" s="78"/>
      <c r="X212" s="153"/>
      <c r="Y212" s="78"/>
      <c r="Z212" s="78"/>
      <c r="AA212" s="78"/>
      <c r="AB212" s="78"/>
      <c r="AC212" s="78"/>
      <c r="AD212" s="78"/>
      <c r="AE212" s="78"/>
      <c r="AF212" s="136"/>
      <c r="AG212" s="78"/>
      <c r="AH212" s="78"/>
      <c r="AI212" s="78"/>
      <c r="AJ212" s="78"/>
      <c r="AK212" s="78"/>
      <c r="AL212" s="78"/>
      <c r="AM212" s="78"/>
      <c r="AN212" s="78"/>
      <c r="AO212" s="78"/>
      <c r="AP212" s="78" t="s">
        <v>31</v>
      </c>
      <c r="AQ212" s="78"/>
      <c r="AR212" s="158"/>
      <c r="AS212" s="158"/>
      <c r="AT212" s="159"/>
      <c r="AU212" s="159"/>
    </row>
    <row r="213" spans="1:47" s="51" customFormat="1" ht="13.5" thickBot="1">
      <c r="A213" s="82"/>
      <c r="B213" s="138" t="s">
        <v>21</v>
      </c>
      <c r="C213" s="139"/>
      <c r="D213" s="140">
        <v>90614.080000000002</v>
      </c>
      <c r="E213" s="140">
        <v>49420.65</v>
      </c>
      <c r="F213" s="64">
        <f>SUM(I213,M213,Q213,U213,Y213,AC213,AG213,AK213,AO213,AS213)</f>
        <v>95510</v>
      </c>
      <c r="G213" s="64">
        <v>14820</v>
      </c>
      <c r="H213" s="65"/>
      <c r="I213" s="65"/>
      <c r="J213" s="65"/>
      <c r="K213" s="65"/>
      <c r="L213" s="65"/>
      <c r="M213" s="65"/>
      <c r="N213" s="65"/>
      <c r="O213" s="65"/>
      <c r="P213" s="65"/>
      <c r="Q213" s="66">
        <v>7680</v>
      </c>
      <c r="R213" s="65"/>
      <c r="S213" s="65">
        <v>9043</v>
      </c>
      <c r="T213" s="65"/>
      <c r="U213" s="66">
        <v>28400</v>
      </c>
      <c r="V213" s="65"/>
      <c r="W213" s="66"/>
      <c r="X213" s="65"/>
      <c r="Y213" s="65"/>
      <c r="Z213" s="65"/>
      <c r="AA213" s="65"/>
      <c r="AB213" s="65"/>
      <c r="AC213" s="66">
        <v>7448</v>
      </c>
      <c r="AD213" s="65"/>
      <c r="AE213" s="66"/>
      <c r="AF213" s="67"/>
      <c r="AG213" s="66">
        <v>51982</v>
      </c>
      <c r="AH213" s="65"/>
      <c r="AI213" s="66">
        <f>AI210</f>
        <v>5777</v>
      </c>
      <c r="AJ213" s="65"/>
      <c r="AK213" s="65"/>
      <c r="AL213" s="65"/>
      <c r="AM213" s="65"/>
      <c r="AN213" s="65"/>
      <c r="AO213" s="65"/>
      <c r="AP213" s="65"/>
      <c r="AQ213" s="65"/>
      <c r="AR213" s="69"/>
      <c r="AS213" s="69"/>
      <c r="AT213" s="71"/>
      <c r="AU213" s="71"/>
    </row>
    <row r="214" spans="1:47" s="51" customFormat="1" ht="77.25" thickTop="1">
      <c r="A214" s="80">
        <v>68</v>
      </c>
      <c r="B214" s="143" t="s">
        <v>14</v>
      </c>
      <c r="C214" s="287" t="s">
        <v>15</v>
      </c>
      <c r="D214" s="171"/>
      <c r="E214" s="171"/>
      <c r="F214" s="106"/>
      <c r="G214" s="106"/>
      <c r="H214" s="16" t="s">
        <v>552</v>
      </c>
      <c r="I214" s="14">
        <v>2600</v>
      </c>
      <c r="J214" s="16" t="s">
        <v>381</v>
      </c>
      <c r="K214" s="20">
        <v>3501</v>
      </c>
      <c r="L214" s="15"/>
      <c r="M214" s="15"/>
      <c r="N214" s="57"/>
      <c r="O214" s="57"/>
      <c r="P214" s="13"/>
      <c r="Q214" s="15"/>
      <c r="R214" s="16" t="s">
        <v>864</v>
      </c>
      <c r="S214" s="15">
        <v>6013</v>
      </c>
      <c r="T214" s="18" t="s">
        <v>498</v>
      </c>
      <c r="U214" s="14">
        <v>4500</v>
      </c>
      <c r="V214" s="15"/>
      <c r="W214" s="15"/>
      <c r="X214" s="15"/>
      <c r="Y214" s="15"/>
      <c r="Z214" s="15"/>
      <c r="AA214" s="14"/>
      <c r="AB214" s="24" t="s">
        <v>242</v>
      </c>
      <c r="AC214" s="21">
        <v>17689</v>
      </c>
      <c r="AD214" s="13" t="s">
        <v>438</v>
      </c>
      <c r="AE214" s="21">
        <v>3604</v>
      </c>
      <c r="AF214" s="24" t="s">
        <v>650</v>
      </c>
      <c r="AG214" s="16" t="s">
        <v>286</v>
      </c>
      <c r="AH214" s="16" t="s">
        <v>413</v>
      </c>
      <c r="AI214" s="16">
        <v>13366</v>
      </c>
      <c r="AJ214" s="175"/>
      <c r="AK214" s="15"/>
      <c r="AL214" s="57"/>
      <c r="AM214" s="57"/>
      <c r="AN214" s="25"/>
      <c r="AO214" s="15"/>
      <c r="AP214" s="16" t="s">
        <v>794</v>
      </c>
      <c r="AQ214" s="16" t="s">
        <v>865</v>
      </c>
      <c r="AR214" s="76"/>
      <c r="AS214" s="27"/>
      <c r="AT214" s="26"/>
      <c r="AU214" s="26"/>
    </row>
    <row r="215" spans="1:47" s="51" customFormat="1" ht="165.75">
      <c r="A215" s="81"/>
      <c r="B215" s="151"/>
      <c r="C215" s="151"/>
      <c r="D215" s="107"/>
      <c r="E215" s="107"/>
      <c r="F215" s="107"/>
      <c r="G215" s="107"/>
      <c r="H215" s="13" t="s">
        <v>551</v>
      </c>
      <c r="I215" s="154">
        <v>2600</v>
      </c>
      <c r="J215" s="153"/>
      <c r="K215" s="154"/>
      <c r="L215" s="78"/>
      <c r="M215" s="78"/>
      <c r="N215" s="78"/>
      <c r="O215" s="78"/>
      <c r="P215" s="153"/>
      <c r="Q215" s="78"/>
      <c r="R215" s="153" t="s">
        <v>797</v>
      </c>
      <c r="S215" s="78">
        <v>3655</v>
      </c>
      <c r="T215" s="18" t="s">
        <v>499</v>
      </c>
      <c r="U215" s="154">
        <v>6400</v>
      </c>
      <c r="V215" s="153" t="s">
        <v>487</v>
      </c>
      <c r="W215" s="153">
        <v>1706</v>
      </c>
      <c r="X215" s="78"/>
      <c r="Y215" s="78"/>
      <c r="Z215" s="78"/>
      <c r="AA215" s="154"/>
      <c r="AB215" s="153"/>
      <c r="AC215" s="78"/>
      <c r="AD215" s="153" t="s">
        <v>466</v>
      </c>
      <c r="AE215" s="154">
        <v>6755</v>
      </c>
      <c r="AF215" s="136" t="s">
        <v>284</v>
      </c>
      <c r="AG215" s="153" t="s">
        <v>285</v>
      </c>
      <c r="AH215" s="153" t="s">
        <v>467</v>
      </c>
      <c r="AI215" s="78">
        <v>22666</v>
      </c>
      <c r="AJ215" s="155"/>
      <c r="AK215" s="78"/>
      <c r="AL215" s="78"/>
      <c r="AM215" s="78"/>
      <c r="AN215" s="181"/>
      <c r="AO215" s="78"/>
      <c r="AP215" s="153" t="s">
        <v>820</v>
      </c>
      <c r="AQ215" s="153" t="s">
        <v>866</v>
      </c>
      <c r="AR215" s="158"/>
      <c r="AS215" s="158"/>
      <c r="AT215" s="159"/>
      <c r="AU215" s="159"/>
    </row>
    <row r="216" spans="1:47" s="51" customFormat="1" ht="13.5" thickBot="1">
      <c r="A216" s="82"/>
      <c r="B216" s="138" t="s">
        <v>21</v>
      </c>
      <c r="C216" s="139"/>
      <c r="D216" s="161">
        <v>133465</v>
      </c>
      <c r="E216" s="161">
        <v>-83677.600000000006</v>
      </c>
      <c r="F216" s="64">
        <f>SUM(I216,M216,Q216,U216,Y216,AC216,AG216,AK216,AO216,AS216)</f>
        <v>131413</v>
      </c>
      <c r="G216" s="64">
        <v>84408</v>
      </c>
      <c r="H216" s="65"/>
      <c r="I216" s="66">
        <v>5200</v>
      </c>
      <c r="J216" s="65"/>
      <c r="K216" s="66">
        <f>K214</f>
        <v>3501</v>
      </c>
      <c r="L216" s="65"/>
      <c r="M216" s="65"/>
      <c r="N216" s="65"/>
      <c r="O216" s="65"/>
      <c r="P216" s="65"/>
      <c r="Q216" s="65"/>
      <c r="R216" s="65"/>
      <c r="S216" s="65">
        <f>S214+S215</f>
        <v>9668</v>
      </c>
      <c r="T216" s="65"/>
      <c r="U216" s="66">
        <v>10900</v>
      </c>
      <c r="V216" s="65"/>
      <c r="W216" s="65">
        <f>W215</f>
        <v>1706</v>
      </c>
      <c r="X216" s="65"/>
      <c r="Y216" s="65"/>
      <c r="Z216" s="65"/>
      <c r="AA216" s="66"/>
      <c r="AB216" s="65"/>
      <c r="AC216" s="66">
        <v>17689</v>
      </c>
      <c r="AD216" s="65"/>
      <c r="AE216" s="66">
        <f>AE215+AE214</f>
        <v>10359</v>
      </c>
      <c r="AF216" s="67"/>
      <c r="AG216" s="66">
        <v>97624</v>
      </c>
      <c r="AH216" s="65"/>
      <c r="AI216" s="65">
        <f>AI215+AI214</f>
        <v>36032</v>
      </c>
      <c r="AJ216" s="65"/>
      <c r="AK216" s="65"/>
      <c r="AL216" s="65"/>
      <c r="AM216" s="65"/>
      <c r="AN216" s="65"/>
      <c r="AO216" s="65"/>
      <c r="AP216" s="65"/>
      <c r="AQ216" s="66">
        <f>(828+2186+8557 )*2</f>
        <v>23142</v>
      </c>
      <c r="AR216" s="69"/>
      <c r="AS216" s="70"/>
      <c r="AT216" s="71"/>
      <c r="AU216" s="71"/>
    </row>
    <row r="217" spans="1:47" s="51" customFormat="1" ht="102.75" thickTop="1">
      <c r="A217" s="80">
        <v>69</v>
      </c>
      <c r="B217" s="184" t="s">
        <v>14</v>
      </c>
      <c r="C217" s="266">
        <v>30</v>
      </c>
      <c r="D217" s="108"/>
      <c r="E217" s="108"/>
      <c r="F217" s="110"/>
      <c r="G217" s="106"/>
      <c r="H217" s="270" t="s">
        <v>550</v>
      </c>
      <c r="I217" s="14">
        <v>2600</v>
      </c>
      <c r="J217" s="16"/>
      <c r="K217" s="14"/>
      <c r="L217" s="15"/>
      <c r="M217" s="15"/>
      <c r="N217" s="57"/>
      <c r="O217" s="57"/>
      <c r="P217" s="13"/>
      <c r="Q217" s="15"/>
      <c r="R217" s="15"/>
      <c r="S217" s="15"/>
      <c r="T217" s="13" t="s">
        <v>520</v>
      </c>
      <c r="U217" s="14">
        <v>5000</v>
      </c>
      <c r="V217" s="16" t="s">
        <v>470</v>
      </c>
      <c r="W217" s="15">
        <v>3260</v>
      </c>
      <c r="X217" s="18" t="s">
        <v>548</v>
      </c>
      <c r="Y217" s="14">
        <v>100000</v>
      </c>
      <c r="Z217" s="16" t="s">
        <v>359</v>
      </c>
      <c r="AA217" s="16">
        <f>98136+13700</f>
        <v>111836</v>
      </c>
      <c r="AB217" s="24" t="s">
        <v>242</v>
      </c>
      <c r="AC217" s="14">
        <v>17689</v>
      </c>
      <c r="AD217" s="13"/>
      <c r="AE217" s="21"/>
      <c r="AF217" s="25" t="s">
        <v>634</v>
      </c>
      <c r="AG217" s="16" t="s">
        <v>243</v>
      </c>
      <c r="AH217" s="16" t="s">
        <v>635</v>
      </c>
      <c r="AI217" s="16">
        <v>4350</v>
      </c>
      <c r="AJ217" s="175"/>
      <c r="AK217" s="15"/>
      <c r="AL217" s="57"/>
      <c r="AM217" s="57"/>
      <c r="AN217" s="25"/>
      <c r="AO217" s="15"/>
      <c r="AP217" s="15"/>
      <c r="AQ217" s="15"/>
      <c r="AR217" s="76" t="s">
        <v>246</v>
      </c>
      <c r="AS217" s="27">
        <v>10400</v>
      </c>
      <c r="AT217" s="26"/>
      <c r="AU217" s="26"/>
    </row>
    <row r="218" spans="1:47" s="51" customFormat="1" ht="102">
      <c r="A218" s="81"/>
      <c r="B218" s="130"/>
      <c r="C218" s="267"/>
      <c r="D218" s="109"/>
      <c r="E218" s="109"/>
      <c r="F218" s="131"/>
      <c r="G218" s="107"/>
      <c r="H218" s="18" t="s">
        <v>549</v>
      </c>
      <c r="I218" s="154">
        <v>75000</v>
      </c>
      <c r="J218" s="153" t="s">
        <v>581</v>
      </c>
      <c r="K218" s="153">
        <f>26322+27848+24860</f>
        <v>79030</v>
      </c>
      <c r="L218" s="78"/>
      <c r="M218" s="78"/>
      <c r="N218" s="78"/>
      <c r="O218" s="78"/>
      <c r="P218" s="78"/>
      <c r="Q218" s="78"/>
      <c r="R218" s="78"/>
      <c r="S218" s="78"/>
      <c r="T218" s="18" t="s">
        <v>499</v>
      </c>
      <c r="U218" s="154">
        <v>6400</v>
      </c>
      <c r="V218" s="153" t="s">
        <v>491</v>
      </c>
      <c r="W218" s="153">
        <v>5078</v>
      </c>
      <c r="X218" s="78"/>
      <c r="Y218" s="78"/>
      <c r="Z218" s="78"/>
      <c r="AA218" s="78"/>
      <c r="AB218" s="78"/>
      <c r="AC218" s="78"/>
      <c r="AD218" s="78"/>
      <c r="AE218" s="78"/>
      <c r="AF218" s="136"/>
      <c r="AG218" s="78"/>
      <c r="AH218" s="153" t="s">
        <v>569</v>
      </c>
      <c r="AI218" s="153">
        <f>1089+4094+9775</f>
        <v>14958</v>
      </c>
      <c r="AJ218" s="78"/>
      <c r="AK218" s="78"/>
      <c r="AL218" s="78"/>
      <c r="AM218" s="78"/>
      <c r="AN218" s="78"/>
      <c r="AO218" s="78"/>
      <c r="AP218" s="153" t="s">
        <v>662</v>
      </c>
      <c r="AQ218" s="78">
        <f>1857+2246</f>
        <v>4103</v>
      </c>
      <c r="AR218" s="22"/>
      <c r="AS218" s="22"/>
      <c r="AT218" s="50"/>
      <c r="AU218" s="50"/>
    </row>
    <row r="219" spans="1:47" s="51" customFormat="1" ht="13.5" thickBot="1">
      <c r="A219" s="82"/>
      <c r="B219" s="169" t="s">
        <v>21</v>
      </c>
      <c r="C219" s="170"/>
      <c r="D219" s="63">
        <v>80658.880000000005</v>
      </c>
      <c r="E219" s="63">
        <v>-31636.41</v>
      </c>
      <c r="F219" s="64">
        <f>SUM(I219,M219,Q219,U219,Y219,AC219,AG219,AK219,AO219,AS219)</f>
        <v>267176</v>
      </c>
      <c r="G219" s="64">
        <v>222615</v>
      </c>
      <c r="H219" s="65"/>
      <c r="I219" s="66">
        <v>77600</v>
      </c>
      <c r="J219" s="65"/>
      <c r="K219" s="66">
        <v>79030</v>
      </c>
      <c r="L219" s="65"/>
      <c r="M219" s="65"/>
      <c r="N219" s="65"/>
      <c r="O219" s="65"/>
      <c r="P219" s="65"/>
      <c r="Q219" s="65"/>
      <c r="R219" s="65"/>
      <c r="S219" s="65"/>
      <c r="T219" s="65"/>
      <c r="U219" s="66">
        <v>11400</v>
      </c>
      <c r="V219" s="65"/>
      <c r="W219" s="65">
        <f>5078+3260</f>
        <v>8338</v>
      </c>
      <c r="X219" s="65"/>
      <c r="Y219" s="66">
        <v>100000</v>
      </c>
      <c r="Z219" s="65"/>
      <c r="AA219" s="65">
        <f>AA217</f>
        <v>111836</v>
      </c>
      <c r="AB219" s="65"/>
      <c r="AC219" s="66">
        <v>17689</v>
      </c>
      <c r="AD219" s="65"/>
      <c r="AE219" s="66"/>
      <c r="AF219" s="67"/>
      <c r="AG219" s="66">
        <v>50087</v>
      </c>
      <c r="AH219" s="65"/>
      <c r="AI219" s="65">
        <f>AI217+AI218</f>
        <v>19308</v>
      </c>
      <c r="AJ219" s="65"/>
      <c r="AK219" s="65"/>
      <c r="AL219" s="65"/>
      <c r="AM219" s="65"/>
      <c r="AN219" s="65"/>
      <c r="AO219" s="65"/>
      <c r="AP219" s="65"/>
      <c r="AQ219" s="65">
        <f>AQ218</f>
        <v>4103</v>
      </c>
      <c r="AR219" s="69"/>
      <c r="AS219" s="70">
        <v>10400</v>
      </c>
      <c r="AT219" s="71"/>
      <c r="AU219" s="71"/>
    </row>
    <row r="220" spans="1:47" s="51" customFormat="1" ht="102.75" thickTop="1">
      <c r="A220" s="80">
        <v>70</v>
      </c>
      <c r="B220" s="143" t="s">
        <v>14</v>
      </c>
      <c r="C220" s="269">
        <v>32</v>
      </c>
      <c r="D220" s="171"/>
      <c r="E220" s="171"/>
      <c r="F220" s="106"/>
      <c r="G220" s="106"/>
      <c r="H220" s="15"/>
      <c r="I220" s="15"/>
      <c r="J220" s="15"/>
      <c r="K220" s="14"/>
      <c r="L220" s="15"/>
      <c r="M220" s="15"/>
      <c r="N220" s="57"/>
      <c r="O220" s="57"/>
      <c r="P220" s="13"/>
      <c r="Q220" s="15"/>
      <c r="R220" s="15"/>
      <c r="S220" s="15"/>
      <c r="T220" s="13" t="s">
        <v>520</v>
      </c>
      <c r="U220" s="14">
        <v>5000</v>
      </c>
      <c r="V220" s="16"/>
      <c r="W220" s="14"/>
      <c r="X220" s="18" t="s">
        <v>548</v>
      </c>
      <c r="Y220" s="14">
        <v>100000</v>
      </c>
      <c r="Z220" s="16" t="s">
        <v>868</v>
      </c>
      <c r="AA220" s="16" t="s">
        <v>867</v>
      </c>
      <c r="AB220" s="24" t="s">
        <v>204</v>
      </c>
      <c r="AC220" s="14">
        <v>13034</v>
      </c>
      <c r="AD220" s="13"/>
      <c r="AE220" s="21"/>
      <c r="AF220" s="25" t="s">
        <v>638</v>
      </c>
      <c r="AG220" s="16" t="s">
        <v>244</v>
      </c>
      <c r="AH220" s="24" t="s">
        <v>468</v>
      </c>
      <c r="AI220" s="16">
        <f>41665+2176</f>
        <v>43841</v>
      </c>
      <c r="AJ220" s="175"/>
      <c r="AK220" s="15"/>
      <c r="AL220" s="57"/>
      <c r="AM220" s="57"/>
      <c r="AN220" s="25"/>
      <c r="AO220" s="15"/>
      <c r="AP220" s="16"/>
      <c r="AQ220" s="14"/>
      <c r="AR220" s="149"/>
      <c r="AS220" s="149"/>
      <c r="AT220" s="26"/>
      <c r="AU220" s="26"/>
    </row>
    <row r="221" spans="1:47" s="51" customFormat="1" ht="89.25">
      <c r="A221" s="81"/>
      <c r="B221" s="130"/>
      <c r="C221" s="267"/>
      <c r="D221" s="109"/>
      <c r="E221" s="109"/>
      <c r="F221" s="131"/>
      <c r="G221" s="131"/>
      <c r="H221" s="78"/>
      <c r="I221" s="78"/>
      <c r="J221" s="78"/>
      <c r="K221" s="154"/>
      <c r="L221" s="78"/>
      <c r="M221" s="78"/>
      <c r="N221" s="78"/>
      <c r="O221" s="78"/>
      <c r="P221" s="153"/>
      <c r="Q221" s="78"/>
      <c r="R221" s="78"/>
      <c r="S221" s="78"/>
      <c r="T221" s="18" t="s">
        <v>499</v>
      </c>
      <c r="U221" s="154">
        <v>6400</v>
      </c>
      <c r="V221" s="153"/>
      <c r="W221" s="154"/>
      <c r="X221" s="134"/>
      <c r="Y221" s="154"/>
      <c r="Z221" s="78"/>
      <c r="AA221" s="78"/>
      <c r="AB221" s="136"/>
      <c r="AC221" s="154"/>
      <c r="AD221" s="153"/>
      <c r="AE221" s="154"/>
      <c r="AF221" s="181"/>
      <c r="AG221" s="153"/>
      <c r="AH221" s="78"/>
      <c r="AI221" s="78"/>
      <c r="AJ221" s="155"/>
      <c r="AK221" s="78"/>
      <c r="AL221" s="78"/>
      <c r="AM221" s="78"/>
      <c r="AN221" s="181"/>
      <c r="AO221" s="78"/>
      <c r="AP221" s="153"/>
      <c r="AQ221" s="154"/>
      <c r="AR221" s="158"/>
      <c r="AS221" s="158"/>
      <c r="AT221" s="159"/>
      <c r="AU221" s="159"/>
    </row>
    <row r="222" spans="1:47" s="51" customFormat="1" ht="13.5" thickBot="1">
      <c r="A222" s="82"/>
      <c r="B222" s="169" t="s">
        <v>21</v>
      </c>
      <c r="C222" s="170"/>
      <c r="D222" s="63">
        <v>80479.360000000001</v>
      </c>
      <c r="E222" s="63">
        <v>-49258.13</v>
      </c>
      <c r="F222" s="64">
        <f>SUM(I222,M222,Q222,U222,Y222,AC222,AG222,AK222,AO222,AS222)</f>
        <v>176498</v>
      </c>
      <c r="G222" s="64">
        <v>160002</v>
      </c>
      <c r="H222" s="65"/>
      <c r="I222" s="65"/>
      <c r="J222" s="65"/>
      <c r="K222" s="66"/>
      <c r="L222" s="65"/>
      <c r="M222" s="65"/>
      <c r="N222" s="65"/>
      <c r="O222" s="65"/>
      <c r="P222" s="65"/>
      <c r="Q222" s="65"/>
      <c r="R222" s="65"/>
      <c r="S222" s="65"/>
      <c r="T222" s="65"/>
      <c r="U222" s="66">
        <v>11400</v>
      </c>
      <c r="V222" s="65"/>
      <c r="W222" s="66"/>
      <c r="X222" s="65"/>
      <c r="Y222" s="66">
        <v>100000</v>
      </c>
      <c r="Z222" s="65"/>
      <c r="AA222" s="65">
        <f>101877+14284</f>
        <v>116161</v>
      </c>
      <c r="AB222" s="65"/>
      <c r="AC222" s="65">
        <v>13034</v>
      </c>
      <c r="AD222" s="65"/>
      <c r="AE222" s="66"/>
      <c r="AF222" s="67"/>
      <c r="AG222" s="66">
        <v>52064</v>
      </c>
      <c r="AH222" s="65"/>
      <c r="AI222" s="65">
        <v>43841</v>
      </c>
      <c r="AJ222" s="65"/>
      <c r="AK222" s="65"/>
      <c r="AL222" s="65"/>
      <c r="AM222" s="65"/>
      <c r="AN222" s="65"/>
      <c r="AO222" s="65"/>
      <c r="AP222" s="65"/>
      <c r="AQ222" s="66"/>
      <c r="AR222" s="69"/>
      <c r="AS222" s="69"/>
      <c r="AT222" s="71"/>
      <c r="AU222" s="71"/>
    </row>
    <row r="223" spans="1:47" s="51" customFormat="1" ht="332.25" thickTop="1">
      <c r="A223" s="80">
        <v>71</v>
      </c>
      <c r="B223" s="288" t="s">
        <v>4</v>
      </c>
      <c r="C223" s="288">
        <v>1</v>
      </c>
      <c r="D223" s="171"/>
      <c r="E223" s="171"/>
      <c r="F223" s="284"/>
      <c r="G223" s="289"/>
      <c r="H223" s="18" t="s">
        <v>522</v>
      </c>
      <c r="I223" s="14">
        <v>125000</v>
      </c>
      <c r="J223" s="16" t="s">
        <v>523</v>
      </c>
      <c r="K223" s="20" t="s">
        <v>874</v>
      </c>
      <c r="L223" s="15"/>
      <c r="M223" s="15"/>
      <c r="N223" s="57"/>
      <c r="O223" s="57"/>
      <c r="P223" s="16" t="s">
        <v>521</v>
      </c>
      <c r="Q223" s="14">
        <v>10000</v>
      </c>
      <c r="R223" s="16" t="s">
        <v>872</v>
      </c>
      <c r="S223" s="20" t="s">
        <v>873</v>
      </c>
      <c r="T223" s="13" t="s">
        <v>520</v>
      </c>
      <c r="U223" s="14">
        <v>5000</v>
      </c>
      <c r="V223" s="16"/>
      <c r="W223" s="14"/>
      <c r="X223" s="15"/>
      <c r="Y223" s="15"/>
      <c r="Z223" s="15"/>
      <c r="AA223" s="15"/>
      <c r="AB223" s="24" t="s">
        <v>41</v>
      </c>
      <c r="AC223" s="14">
        <v>11172</v>
      </c>
      <c r="AD223" s="16" t="s">
        <v>673</v>
      </c>
      <c r="AE223" s="20" t="s">
        <v>871</v>
      </c>
      <c r="AF223" s="24" t="s">
        <v>403</v>
      </c>
      <c r="AG223" s="290" t="s">
        <v>404</v>
      </c>
      <c r="AH223" s="175" t="s">
        <v>524</v>
      </c>
      <c r="AI223" s="290" t="s">
        <v>869</v>
      </c>
      <c r="AJ223" s="175" t="s">
        <v>37</v>
      </c>
      <c r="AK223" s="175" t="s">
        <v>46</v>
      </c>
      <c r="AL223" s="261"/>
      <c r="AM223" s="261"/>
      <c r="AN223" s="24" t="s">
        <v>333</v>
      </c>
      <c r="AO223" s="16" t="s">
        <v>332</v>
      </c>
      <c r="AP223" s="175" t="s">
        <v>870</v>
      </c>
      <c r="AQ223" s="175">
        <f>10728+5788+11747+2128</f>
        <v>30391</v>
      </c>
      <c r="AR223" s="149"/>
      <c r="AS223" s="149"/>
      <c r="AT223" s="26"/>
      <c r="AU223" s="26"/>
    </row>
    <row r="224" spans="1:47" s="51" customFormat="1" ht="153">
      <c r="A224" s="81"/>
      <c r="B224" s="291"/>
      <c r="C224" s="291"/>
      <c r="D224" s="108"/>
      <c r="E224" s="108"/>
      <c r="F224" s="285"/>
      <c r="G224" s="158"/>
      <c r="H224" s="125"/>
      <c r="I224" s="125"/>
      <c r="J224" s="18" t="s">
        <v>761</v>
      </c>
      <c r="K224" s="125">
        <v>3925</v>
      </c>
      <c r="L224" s="125"/>
      <c r="M224" s="125"/>
      <c r="N224" s="125"/>
      <c r="O224" s="125"/>
      <c r="P224" s="18"/>
      <c r="Q224" s="57"/>
      <c r="R224" s="13" t="s">
        <v>856</v>
      </c>
      <c r="S224" s="21">
        <v>12095</v>
      </c>
      <c r="T224" s="18" t="s">
        <v>601</v>
      </c>
      <c r="U224" s="127">
        <v>40000</v>
      </c>
      <c r="V224" s="125"/>
      <c r="W224" s="125"/>
      <c r="X224" s="18"/>
      <c r="Y224" s="125"/>
      <c r="Z224" s="125"/>
      <c r="AA224" s="125"/>
      <c r="AB224" s="125"/>
      <c r="AC224" s="125"/>
      <c r="AD224" s="18" t="s">
        <v>440</v>
      </c>
      <c r="AE224" s="125">
        <v>5216</v>
      </c>
      <c r="AF224" s="25"/>
      <c r="AG224" s="22"/>
      <c r="AH224" s="149"/>
      <c r="AI224" s="149"/>
      <c r="AJ224" s="147" t="s">
        <v>38</v>
      </c>
      <c r="AK224" s="292">
        <v>1204</v>
      </c>
      <c r="AL224" s="22"/>
      <c r="AM224" s="22"/>
      <c r="AN224" s="25" t="s">
        <v>39</v>
      </c>
      <c r="AO224" s="18" t="s">
        <v>40</v>
      </c>
      <c r="AP224" s="147" t="s">
        <v>820</v>
      </c>
      <c r="AQ224" s="27">
        <f>1682+5788+11111+2128</f>
        <v>20709</v>
      </c>
      <c r="AR224" s="22"/>
      <c r="AS224" s="22"/>
      <c r="AT224" s="50"/>
      <c r="AU224" s="50"/>
    </row>
    <row r="225" spans="1:47" s="51" customFormat="1" ht="127.5">
      <c r="A225" s="81"/>
      <c r="B225" s="293"/>
      <c r="C225" s="293"/>
      <c r="D225" s="109"/>
      <c r="E225" s="109"/>
      <c r="F225" s="158"/>
      <c r="G225" s="158"/>
      <c r="H225" s="132"/>
      <c r="I225" s="132"/>
      <c r="J225" s="132"/>
      <c r="K225" s="132"/>
      <c r="L225" s="132"/>
      <c r="M225" s="132"/>
      <c r="N225" s="132"/>
      <c r="O225" s="132"/>
      <c r="P225" s="134"/>
      <c r="Q225" s="78"/>
      <c r="R225" s="153" t="s">
        <v>875</v>
      </c>
      <c r="S225" s="154">
        <v>2223</v>
      </c>
      <c r="T225" s="18" t="s">
        <v>596</v>
      </c>
      <c r="U225" s="135">
        <v>6500</v>
      </c>
      <c r="V225" s="132"/>
      <c r="W225" s="132"/>
      <c r="X225" s="134"/>
      <c r="Y225" s="132"/>
      <c r="Z225" s="132"/>
      <c r="AA225" s="132"/>
      <c r="AB225" s="132"/>
      <c r="AC225" s="132"/>
      <c r="AD225" s="132"/>
      <c r="AE225" s="132"/>
      <c r="AF225" s="181"/>
      <c r="AG225" s="215"/>
      <c r="AH225" s="158"/>
      <c r="AI225" s="158"/>
      <c r="AJ225" s="155"/>
      <c r="AK225" s="294"/>
      <c r="AL225" s="215"/>
      <c r="AM225" s="215"/>
      <c r="AN225" s="181" t="s">
        <v>441</v>
      </c>
      <c r="AO225" s="134">
        <v>4256</v>
      </c>
      <c r="AP225" s="155" t="s">
        <v>557</v>
      </c>
      <c r="AQ225" s="157">
        <v>1192</v>
      </c>
      <c r="AR225" s="294"/>
      <c r="AS225" s="215"/>
      <c r="AT225" s="216"/>
      <c r="AU225" s="216"/>
    </row>
    <row r="226" spans="1:47" s="51" customFormat="1" ht="13.5" thickBot="1">
      <c r="A226" s="82"/>
      <c r="B226" s="169" t="s">
        <v>21</v>
      </c>
      <c r="C226" s="170"/>
      <c r="D226" s="63">
        <v>327912.3</v>
      </c>
      <c r="E226" s="63">
        <v>-188643</v>
      </c>
      <c r="F226" s="64">
        <f>SUM(I226,M226,Q226,U226,Y226,AC226,AG226,AK226,AO226,AS226)</f>
        <v>223942</v>
      </c>
      <c r="G226" s="64">
        <v>381873</v>
      </c>
      <c r="H226" s="65"/>
      <c r="I226" s="66">
        <v>125000</v>
      </c>
      <c r="J226" s="65"/>
      <c r="K226" s="66">
        <f>79941+41883+44745+43904+3925</f>
        <v>214398</v>
      </c>
      <c r="L226" s="65"/>
      <c r="M226" s="65"/>
      <c r="N226" s="65"/>
      <c r="O226" s="65"/>
      <c r="P226" s="65"/>
      <c r="Q226" s="66">
        <v>10000</v>
      </c>
      <c r="R226" s="65"/>
      <c r="S226" s="66">
        <f>17446+11500+12095+2223</f>
        <v>43264</v>
      </c>
      <c r="T226" s="65"/>
      <c r="U226" s="66">
        <v>51500</v>
      </c>
      <c r="V226" s="65"/>
      <c r="W226" s="66"/>
      <c r="X226" s="65"/>
      <c r="Y226" s="65"/>
      <c r="Z226" s="65"/>
      <c r="AA226" s="65"/>
      <c r="AB226" s="65"/>
      <c r="AC226" s="66">
        <v>11172</v>
      </c>
      <c r="AD226" s="65"/>
      <c r="AE226" s="66">
        <f>3286+4922+3854+4162+6118+4941+5216</f>
        <v>32499</v>
      </c>
      <c r="AF226" s="67"/>
      <c r="AG226" s="295">
        <v>5816</v>
      </c>
      <c r="AH226" s="296"/>
      <c r="AI226" s="295">
        <f>945+9395+17927+6006+5147</f>
        <v>39420</v>
      </c>
      <c r="AJ226" s="296"/>
      <c r="AK226" s="295">
        <v>2434</v>
      </c>
      <c r="AL226" s="296"/>
      <c r="AM226" s="296"/>
      <c r="AN226" s="65"/>
      <c r="AO226" s="66">
        <v>18020</v>
      </c>
      <c r="AP226" s="296"/>
      <c r="AQ226" s="295">
        <f>AQ225+AQ224+AQ223</f>
        <v>52292</v>
      </c>
      <c r="AR226" s="69"/>
      <c r="AS226" s="69"/>
      <c r="AT226" s="71"/>
      <c r="AU226" s="71"/>
    </row>
    <row r="227" spans="1:47" s="51" customFormat="1" ht="243" thickTop="1">
      <c r="A227" s="80">
        <v>72</v>
      </c>
      <c r="B227" s="297" t="s">
        <v>4</v>
      </c>
      <c r="C227" s="288">
        <v>3</v>
      </c>
      <c r="D227" s="171"/>
      <c r="E227" s="171"/>
      <c r="F227" s="284"/>
      <c r="G227" s="289"/>
      <c r="H227" s="16" t="s">
        <v>527</v>
      </c>
      <c r="I227" s="261"/>
      <c r="J227" s="175" t="s">
        <v>879</v>
      </c>
      <c r="K227" s="182">
        <v>41727</v>
      </c>
      <c r="L227" s="261"/>
      <c r="M227" s="261"/>
      <c r="N227" s="261"/>
      <c r="O227" s="261"/>
      <c r="P227" s="16" t="s">
        <v>539</v>
      </c>
      <c r="Q227" s="182">
        <v>56000</v>
      </c>
      <c r="R227" s="175" t="s">
        <v>362</v>
      </c>
      <c r="S227" s="290">
        <f>40820+8322+35493+14041</f>
        <v>98676</v>
      </c>
      <c r="T227" s="13" t="s">
        <v>525</v>
      </c>
      <c r="U227" s="182">
        <v>15000</v>
      </c>
      <c r="V227" s="175" t="s">
        <v>386</v>
      </c>
      <c r="W227" s="274">
        <f>18172+2042</f>
        <v>20214</v>
      </c>
      <c r="X227" s="13" t="s">
        <v>536</v>
      </c>
      <c r="Y227" s="21">
        <v>150000</v>
      </c>
      <c r="Z227" s="15"/>
      <c r="AA227" s="15"/>
      <c r="AB227" s="24" t="s">
        <v>49</v>
      </c>
      <c r="AC227" s="14">
        <v>18620</v>
      </c>
      <c r="AD227" s="16" t="s">
        <v>682</v>
      </c>
      <c r="AE227" s="20" t="s">
        <v>881</v>
      </c>
      <c r="AF227" s="24" t="s">
        <v>623</v>
      </c>
      <c r="AG227" s="175" t="s">
        <v>347</v>
      </c>
      <c r="AH227" s="175" t="s">
        <v>402</v>
      </c>
      <c r="AI227" s="290" t="s">
        <v>876</v>
      </c>
      <c r="AJ227" s="175" t="s">
        <v>42</v>
      </c>
      <c r="AK227" s="298">
        <v>2460</v>
      </c>
      <c r="AL227" s="299"/>
      <c r="AM227" s="299"/>
      <c r="AN227" s="24" t="s">
        <v>43</v>
      </c>
      <c r="AO227" s="175" t="s">
        <v>44</v>
      </c>
      <c r="AP227" s="175" t="s">
        <v>794</v>
      </c>
      <c r="AQ227" s="175" t="s">
        <v>878</v>
      </c>
      <c r="AR227" s="149"/>
      <c r="AS227" s="149"/>
      <c r="AT227" s="26"/>
      <c r="AU227" s="26"/>
    </row>
    <row r="228" spans="1:47" s="51" customFormat="1" ht="153">
      <c r="A228" s="81"/>
      <c r="B228" s="300"/>
      <c r="C228" s="293"/>
      <c r="D228" s="109"/>
      <c r="E228" s="109"/>
      <c r="F228" s="286"/>
      <c r="G228" s="158"/>
      <c r="H228" s="158"/>
      <c r="I228" s="158"/>
      <c r="J228" s="155" t="s">
        <v>880</v>
      </c>
      <c r="K228" s="156">
        <f>3930+2482+2345+21029+1943</f>
        <v>31729</v>
      </c>
      <c r="L228" s="158"/>
      <c r="M228" s="158"/>
      <c r="N228" s="158"/>
      <c r="O228" s="158"/>
      <c r="P228" s="57"/>
      <c r="Q228" s="158"/>
      <c r="R228" s="158"/>
      <c r="S228" s="158"/>
      <c r="T228" s="18" t="s">
        <v>601</v>
      </c>
      <c r="U228" s="157">
        <v>40000</v>
      </c>
      <c r="V228" s="158"/>
      <c r="W228" s="158"/>
      <c r="X228" s="153"/>
      <c r="Y228" s="78"/>
      <c r="Z228" s="78"/>
      <c r="AA228" s="78"/>
      <c r="AB228" s="78"/>
      <c r="AC228" s="78"/>
      <c r="AD228" s="78"/>
      <c r="AE228" s="78"/>
      <c r="AF228" s="25"/>
      <c r="AG228" s="301"/>
      <c r="AH228" s="155" t="s">
        <v>572</v>
      </c>
      <c r="AI228" s="301">
        <f>2369+1639+1236</f>
        <v>5244</v>
      </c>
      <c r="AJ228" s="147" t="s">
        <v>45</v>
      </c>
      <c r="AK228" s="302">
        <v>2408</v>
      </c>
      <c r="AL228" s="301"/>
      <c r="AM228" s="301"/>
      <c r="AN228" s="25" t="s">
        <v>47</v>
      </c>
      <c r="AO228" s="18" t="s">
        <v>48</v>
      </c>
      <c r="AP228" s="155" t="s">
        <v>820</v>
      </c>
      <c r="AQ228" s="155" t="s">
        <v>877</v>
      </c>
      <c r="AR228" s="22"/>
      <c r="AS228" s="22"/>
      <c r="AT228" s="50"/>
      <c r="AU228" s="50"/>
    </row>
    <row r="229" spans="1:47" s="51" customFormat="1" ht="13.5" thickBot="1">
      <c r="A229" s="82"/>
      <c r="B229" s="169" t="s">
        <v>21</v>
      </c>
      <c r="C229" s="170"/>
      <c r="D229" s="63">
        <v>339390.7</v>
      </c>
      <c r="E229" s="63">
        <v>-195301.25</v>
      </c>
      <c r="F229" s="64">
        <f>SUM(I229,M229,Q229,U229,Y229,AC229,AG229,AK229,AO229,AS229)</f>
        <v>365593</v>
      </c>
      <c r="G229" s="64">
        <v>472126</v>
      </c>
      <c r="H229" s="69"/>
      <c r="I229" s="69"/>
      <c r="J229" s="69"/>
      <c r="K229" s="70">
        <f>K227+K228</f>
        <v>73456</v>
      </c>
      <c r="L229" s="69"/>
      <c r="M229" s="69"/>
      <c r="N229" s="69"/>
      <c r="O229" s="69"/>
      <c r="P229" s="69"/>
      <c r="Q229" s="70">
        <v>56000</v>
      </c>
      <c r="R229" s="69"/>
      <c r="S229" s="70">
        <f>S227</f>
        <v>98676</v>
      </c>
      <c r="T229" s="69"/>
      <c r="U229" s="70">
        <v>55000</v>
      </c>
      <c r="V229" s="69"/>
      <c r="W229" s="70">
        <f>W227</f>
        <v>20214</v>
      </c>
      <c r="X229" s="69"/>
      <c r="Y229" s="69">
        <v>150000</v>
      </c>
      <c r="Z229" s="69"/>
      <c r="AA229" s="69"/>
      <c r="AB229" s="69"/>
      <c r="AC229" s="70">
        <v>18620</v>
      </c>
      <c r="AD229" s="69"/>
      <c r="AE229" s="70">
        <f>46995+23030+14966</f>
        <v>84991</v>
      </c>
      <c r="AF229" s="67"/>
      <c r="AG229" s="296">
        <f>23030+9869</f>
        <v>32899</v>
      </c>
      <c r="AH229" s="296"/>
      <c r="AI229" s="295">
        <f>3006+954+2629+73184+355+762+34218+2369+1639+1236</f>
        <v>120352</v>
      </c>
      <c r="AJ229" s="296"/>
      <c r="AK229" s="295">
        <v>4868</v>
      </c>
      <c r="AL229" s="296"/>
      <c r="AM229" s="296"/>
      <c r="AN229" s="69"/>
      <c r="AO229" s="70">
        <v>48206</v>
      </c>
      <c r="AP229" s="296"/>
      <c r="AQ229" s="295">
        <f>1102+14670+1313+755+7876+3900+15464+1130+7876+20351</f>
        <v>74437</v>
      </c>
      <c r="AR229" s="69"/>
      <c r="AS229" s="69"/>
      <c r="AT229" s="71"/>
      <c r="AU229" s="71"/>
    </row>
    <row r="230" spans="1:47" s="51" customFormat="1" ht="128.25" thickTop="1">
      <c r="A230" s="80">
        <v>73</v>
      </c>
      <c r="B230" s="297" t="s">
        <v>4</v>
      </c>
      <c r="C230" s="288">
        <v>4</v>
      </c>
      <c r="D230" s="171"/>
      <c r="E230" s="171"/>
      <c r="F230" s="284"/>
      <c r="G230" s="289"/>
      <c r="H230" s="18" t="s">
        <v>528</v>
      </c>
      <c r="I230" s="261">
        <v>150000</v>
      </c>
      <c r="J230" s="175" t="s">
        <v>883</v>
      </c>
      <c r="K230" s="175" t="s">
        <v>884</v>
      </c>
      <c r="L230" s="261"/>
      <c r="M230" s="261"/>
      <c r="N230" s="261"/>
      <c r="O230" s="261"/>
      <c r="P230" s="16" t="s">
        <v>547</v>
      </c>
      <c r="Q230" s="182">
        <v>33600</v>
      </c>
      <c r="R230" s="175" t="s">
        <v>388</v>
      </c>
      <c r="S230" s="290" t="s">
        <v>363</v>
      </c>
      <c r="T230" s="13" t="s">
        <v>525</v>
      </c>
      <c r="U230" s="182">
        <v>15000</v>
      </c>
      <c r="V230" s="175" t="s">
        <v>325</v>
      </c>
      <c r="W230" s="261">
        <v>9695</v>
      </c>
      <c r="X230" s="261"/>
      <c r="Y230" s="261"/>
      <c r="Z230" s="261"/>
      <c r="AA230" s="261"/>
      <c r="AB230" s="24" t="s">
        <v>58</v>
      </c>
      <c r="AC230" s="27">
        <v>14896</v>
      </c>
      <c r="AD230" s="147"/>
      <c r="AE230" s="27"/>
      <c r="AF230" s="24" t="s">
        <v>50</v>
      </c>
      <c r="AG230" s="175" t="s">
        <v>51</v>
      </c>
      <c r="AH230" s="175" t="s">
        <v>526</v>
      </c>
      <c r="AI230" s="290" t="s">
        <v>882</v>
      </c>
      <c r="AJ230" s="175" t="s">
        <v>53</v>
      </c>
      <c r="AK230" s="298">
        <v>2460</v>
      </c>
      <c r="AL230" s="299"/>
      <c r="AM230" s="299"/>
      <c r="AN230" s="24" t="s">
        <v>55</v>
      </c>
      <c r="AO230" s="175" t="s">
        <v>54</v>
      </c>
      <c r="AP230" s="175" t="s">
        <v>664</v>
      </c>
      <c r="AQ230" s="303">
        <f>3311+713</f>
        <v>4024</v>
      </c>
      <c r="AR230" s="149"/>
      <c r="AS230" s="149"/>
      <c r="AT230" s="26"/>
      <c r="AU230" s="26"/>
    </row>
    <row r="231" spans="1:47" s="51" customFormat="1" ht="153">
      <c r="A231" s="81"/>
      <c r="B231" s="300"/>
      <c r="C231" s="293"/>
      <c r="D231" s="109"/>
      <c r="E231" s="109"/>
      <c r="F231" s="286"/>
      <c r="G231" s="158"/>
      <c r="H231" s="158"/>
      <c r="I231" s="158"/>
      <c r="J231" s="158"/>
      <c r="K231" s="158"/>
      <c r="L231" s="158"/>
      <c r="M231" s="158"/>
      <c r="N231" s="158"/>
      <c r="O231" s="158"/>
      <c r="P231" s="304"/>
      <c r="Q231" s="158"/>
      <c r="R231" s="158"/>
      <c r="S231" s="158"/>
      <c r="T231" s="18" t="s">
        <v>601</v>
      </c>
      <c r="U231" s="157">
        <v>40000</v>
      </c>
      <c r="V231" s="158"/>
      <c r="W231" s="158"/>
      <c r="X231" s="158"/>
      <c r="Y231" s="158"/>
      <c r="Z231" s="158"/>
      <c r="AA231" s="158"/>
      <c r="AB231" s="158"/>
      <c r="AC231" s="158"/>
      <c r="AD231" s="155" t="s">
        <v>573</v>
      </c>
      <c r="AE231" s="156">
        <v>50698</v>
      </c>
      <c r="AF231" s="25" t="s">
        <v>616</v>
      </c>
      <c r="AG231" s="155" t="s">
        <v>52</v>
      </c>
      <c r="AH231" s="301"/>
      <c r="AI231" s="301"/>
      <c r="AJ231" s="147" t="s">
        <v>45</v>
      </c>
      <c r="AK231" s="302">
        <v>2408</v>
      </c>
      <c r="AL231" s="301"/>
      <c r="AM231" s="301"/>
      <c r="AN231" s="25" t="s">
        <v>56</v>
      </c>
      <c r="AO231" s="155" t="s">
        <v>57</v>
      </c>
      <c r="AP231" s="304" t="s">
        <v>366</v>
      </c>
      <c r="AQ231" s="301">
        <v>5704</v>
      </c>
      <c r="AR231" s="22"/>
      <c r="AS231" s="22"/>
      <c r="AT231" s="50"/>
      <c r="AU231" s="50"/>
    </row>
    <row r="232" spans="1:47" s="51" customFormat="1" ht="13.5" thickBot="1">
      <c r="A232" s="82"/>
      <c r="B232" s="169" t="s">
        <v>21</v>
      </c>
      <c r="C232" s="170"/>
      <c r="D232" s="63">
        <v>295011.20000000001</v>
      </c>
      <c r="E232" s="63">
        <v>20536.52</v>
      </c>
      <c r="F232" s="64">
        <f>SUM(I232,M232,Q232,U232,Y232,AC232,AG232,AK232,AO232,AS232)</f>
        <v>325868</v>
      </c>
      <c r="G232" s="64">
        <v>376273</v>
      </c>
      <c r="H232" s="69"/>
      <c r="I232" s="70">
        <v>150000</v>
      </c>
      <c r="J232" s="69"/>
      <c r="K232" s="69">
        <f>40823+40167+41682+42674+42845+41847+2198</f>
        <v>252236</v>
      </c>
      <c r="L232" s="69"/>
      <c r="M232" s="69"/>
      <c r="N232" s="69"/>
      <c r="O232" s="69"/>
      <c r="P232" s="69"/>
      <c r="Q232" s="70">
        <v>33600</v>
      </c>
      <c r="R232" s="69"/>
      <c r="S232" s="70">
        <f>2920+5570</f>
        <v>8490</v>
      </c>
      <c r="T232" s="69"/>
      <c r="U232" s="70">
        <v>55000</v>
      </c>
      <c r="V232" s="69"/>
      <c r="W232" s="69">
        <v>9695</v>
      </c>
      <c r="X232" s="69"/>
      <c r="Y232" s="69"/>
      <c r="Z232" s="69"/>
      <c r="AA232" s="69"/>
      <c r="AB232" s="69"/>
      <c r="AC232" s="70">
        <v>14896</v>
      </c>
      <c r="AD232" s="69"/>
      <c r="AE232" s="70">
        <v>50698</v>
      </c>
      <c r="AF232" s="67"/>
      <c r="AG232" s="295">
        <v>46344</v>
      </c>
      <c r="AH232" s="296"/>
      <c r="AI232" s="295">
        <f>4165+37879+3382</f>
        <v>45426</v>
      </c>
      <c r="AJ232" s="296"/>
      <c r="AK232" s="295">
        <v>4868</v>
      </c>
      <c r="AL232" s="296"/>
      <c r="AM232" s="296"/>
      <c r="AN232" s="69"/>
      <c r="AO232" s="70">
        <v>21160</v>
      </c>
      <c r="AP232" s="296"/>
      <c r="AQ232" s="295">
        <f>AQ231+AQ230</f>
        <v>9728</v>
      </c>
      <c r="AR232" s="69"/>
      <c r="AS232" s="69"/>
      <c r="AT232" s="71"/>
      <c r="AU232" s="71"/>
    </row>
    <row r="233" spans="1:47" s="51" customFormat="1" ht="243" thickTop="1">
      <c r="A233" s="80">
        <v>74</v>
      </c>
      <c r="B233" s="288" t="s">
        <v>4</v>
      </c>
      <c r="C233" s="288">
        <v>5</v>
      </c>
      <c r="D233" s="171"/>
      <c r="F233" s="171"/>
      <c r="G233" s="289"/>
      <c r="H233" s="261"/>
      <c r="I233" s="261"/>
      <c r="J233" s="175" t="s">
        <v>888</v>
      </c>
      <c r="K233" s="261">
        <v>39741</v>
      </c>
      <c r="L233" s="175" t="s">
        <v>529</v>
      </c>
      <c r="M233" s="290" t="s">
        <v>887</v>
      </c>
      <c r="N233" s="175" t="s">
        <v>415</v>
      </c>
      <c r="O233" s="290">
        <f>9609+13031+8660+2625</f>
        <v>33925</v>
      </c>
      <c r="P233" s="16" t="s">
        <v>545</v>
      </c>
      <c r="Q233" s="182">
        <v>28000</v>
      </c>
      <c r="R233" s="175"/>
      <c r="S233" s="182"/>
      <c r="T233" s="13" t="s">
        <v>525</v>
      </c>
      <c r="U233" s="182">
        <v>15000</v>
      </c>
      <c r="V233" s="175"/>
      <c r="W233" s="182"/>
      <c r="X233" s="15"/>
      <c r="Y233" s="261"/>
      <c r="Z233" s="261"/>
      <c r="AA233" s="261"/>
      <c r="AB233" s="24" t="s">
        <v>68</v>
      </c>
      <c r="AC233" s="182">
        <v>9310</v>
      </c>
      <c r="AD233" s="175" t="s">
        <v>683</v>
      </c>
      <c r="AE233" s="290" t="s">
        <v>331</v>
      </c>
      <c r="AF233" s="24" t="s">
        <v>59</v>
      </c>
      <c r="AG233" s="175" t="s">
        <v>60</v>
      </c>
      <c r="AH233" s="175" t="s">
        <v>886</v>
      </c>
      <c r="AI233" s="290" t="s">
        <v>885</v>
      </c>
      <c r="AJ233" s="175" t="s">
        <v>62</v>
      </c>
      <c r="AK233" s="298">
        <v>1230</v>
      </c>
      <c r="AL233" s="299"/>
      <c r="AM233" s="299"/>
      <c r="AN233" s="24" t="s">
        <v>64</v>
      </c>
      <c r="AO233" s="175" t="s">
        <v>65</v>
      </c>
      <c r="AP233" s="175" t="s">
        <v>316</v>
      </c>
      <c r="AQ233" s="148" t="s">
        <v>889</v>
      </c>
      <c r="AR233" s="76" t="s">
        <v>246</v>
      </c>
      <c r="AS233" s="27">
        <v>10400</v>
      </c>
      <c r="AT233" s="26"/>
      <c r="AU233" s="26"/>
    </row>
    <row r="234" spans="1:47" s="51" customFormat="1" ht="178.5">
      <c r="A234" s="81"/>
      <c r="B234" s="291"/>
      <c r="C234" s="291"/>
      <c r="D234" s="108"/>
      <c r="F234" s="108"/>
      <c r="G234" s="158"/>
      <c r="H234" s="22"/>
      <c r="I234" s="22"/>
      <c r="J234" s="22"/>
      <c r="K234" s="22"/>
      <c r="L234" s="305"/>
      <c r="M234" s="22"/>
      <c r="N234" s="22"/>
      <c r="O234" s="22"/>
      <c r="P234" s="18"/>
      <c r="Q234" s="22"/>
      <c r="R234" s="22"/>
      <c r="S234" s="22"/>
      <c r="T234" s="18" t="s">
        <v>502</v>
      </c>
      <c r="U234" s="292">
        <v>12800</v>
      </c>
      <c r="V234" s="231" t="s">
        <v>546</v>
      </c>
      <c r="W234" s="306">
        <f>7591+862</f>
        <v>8453</v>
      </c>
      <c r="X234" s="125"/>
      <c r="Y234" s="22"/>
      <c r="Z234" s="22"/>
      <c r="AA234" s="22"/>
      <c r="AB234" s="22"/>
      <c r="AC234" s="22"/>
      <c r="AD234" s="22"/>
      <c r="AE234" s="22"/>
      <c r="AF234" s="25" t="s">
        <v>619</v>
      </c>
      <c r="AG234" s="231" t="s">
        <v>61</v>
      </c>
      <c r="AH234" s="155" t="s">
        <v>559</v>
      </c>
      <c r="AI234" s="155" t="s">
        <v>560</v>
      </c>
      <c r="AJ234" s="231" t="s">
        <v>63</v>
      </c>
      <c r="AK234" s="307">
        <v>1204</v>
      </c>
      <c r="AL234" s="308"/>
      <c r="AM234" s="308"/>
      <c r="AN234" s="25" t="s">
        <v>66</v>
      </c>
      <c r="AO234" s="231" t="s">
        <v>67</v>
      </c>
      <c r="AP234" s="308"/>
      <c r="AQ234" s="308"/>
      <c r="AR234" s="22"/>
      <c r="AS234" s="22"/>
      <c r="AT234" s="50"/>
      <c r="AU234" s="50"/>
    </row>
    <row r="235" spans="1:47" s="51" customFormat="1" ht="153">
      <c r="A235" s="81"/>
      <c r="B235" s="293"/>
      <c r="C235" s="293"/>
      <c r="D235" s="109"/>
      <c r="E235" s="26"/>
      <c r="F235" s="109"/>
      <c r="G235" s="158"/>
      <c r="H235" s="158"/>
      <c r="I235" s="158"/>
      <c r="J235" s="158"/>
      <c r="K235" s="158"/>
      <c r="L235" s="304"/>
      <c r="M235" s="158"/>
      <c r="N235" s="158"/>
      <c r="O235" s="158"/>
      <c r="P235" s="153"/>
      <c r="Q235" s="158"/>
      <c r="R235" s="158"/>
      <c r="S235" s="158"/>
      <c r="T235" s="18" t="s">
        <v>601</v>
      </c>
      <c r="U235" s="157">
        <v>40000</v>
      </c>
      <c r="V235" s="158"/>
      <c r="W235" s="158"/>
      <c r="X235" s="78"/>
      <c r="Y235" s="158"/>
      <c r="Z235" s="158"/>
      <c r="AA235" s="158"/>
      <c r="AB235" s="158"/>
      <c r="AC235" s="158"/>
      <c r="AD235" s="158"/>
      <c r="AE235" s="158"/>
      <c r="AF235" s="136"/>
      <c r="AG235" s="155"/>
      <c r="AH235" s="155"/>
      <c r="AI235" s="155"/>
      <c r="AJ235" s="155"/>
      <c r="AK235" s="302"/>
      <c r="AL235" s="301"/>
      <c r="AM235" s="301"/>
      <c r="AN235" s="136"/>
      <c r="AO235" s="155"/>
      <c r="AP235" s="301"/>
      <c r="AQ235" s="301"/>
      <c r="AR235" s="158"/>
      <c r="AS235" s="158"/>
      <c r="AT235" s="159"/>
      <c r="AU235" s="159"/>
    </row>
    <row r="236" spans="1:47" s="51" customFormat="1" ht="13.5" thickBot="1">
      <c r="A236" s="82"/>
      <c r="B236" s="169" t="s">
        <v>21</v>
      </c>
      <c r="C236" s="170"/>
      <c r="D236" s="63">
        <v>291562.2</v>
      </c>
      <c r="E236" s="63">
        <v>26560.69</v>
      </c>
      <c r="F236" s="64">
        <f>SUM(I236,M236,Q236,U236,Y236,AC236,AG236,AK236,AO236,AS236)</f>
        <v>226596</v>
      </c>
      <c r="G236" s="64">
        <v>146133</v>
      </c>
      <c r="H236" s="69"/>
      <c r="I236" s="69"/>
      <c r="J236" s="69"/>
      <c r="K236" s="69">
        <f>K233</f>
        <v>39741</v>
      </c>
      <c r="L236" s="69"/>
      <c r="M236" s="70">
        <v>62500</v>
      </c>
      <c r="N236" s="69"/>
      <c r="O236" s="70">
        <f>9609+13031+8660+2625</f>
        <v>33925</v>
      </c>
      <c r="P236" s="69"/>
      <c r="Q236" s="70">
        <v>28000</v>
      </c>
      <c r="R236" s="69"/>
      <c r="S236" s="70"/>
      <c r="T236" s="69"/>
      <c r="U236" s="70">
        <v>67800</v>
      </c>
      <c r="V236" s="69"/>
      <c r="W236" s="70">
        <f>7591+862</f>
        <v>8453</v>
      </c>
      <c r="X236" s="69"/>
      <c r="Y236" s="69"/>
      <c r="Z236" s="69"/>
      <c r="AA236" s="69"/>
      <c r="AB236" s="69"/>
      <c r="AC236" s="70">
        <v>9310</v>
      </c>
      <c r="AD236" s="69"/>
      <c r="AE236" s="70">
        <f>11109+13891</f>
        <v>25000</v>
      </c>
      <c r="AF236" s="309"/>
      <c r="AG236" s="295">
        <v>28152</v>
      </c>
      <c r="AH236" s="296"/>
      <c r="AI236" s="295">
        <f>983+3789+1413+6240+7082+1639+3569</f>
        <v>24715</v>
      </c>
      <c r="AJ236" s="296"/>
      <c r="AK236" s="295">
        <v>2434</v>
      </c>
      <c r="AL236" s="296"/>
      <c r="AM236" s="296"/>
      <c r="AN236" s="69"/>
      <c r="AO236" s="70">
        <v>18000</v>
      </c>
      <c r="AP236" s="296"/>
      <c r="AQ236" s="295">
        <f>3146+1753+3654+5746</f>
        <v>14299</v>
      </c>
      <c r="AR236" s="69"/>
      <c r="AS236" s="70">
        <v>10400</v>
      </c>
      <c r="AT236" s="71"/>
      <c r="AU236" s="71"/>
    </row>
    <row r="237" spans="1:47" s="51" customFormat="1" ht="192" thickTop="1">
      <c r="A237" s="80">
        <v>75</v>
      </c>
      <c r="B237" s="288" t="s">
        <v>4</v>
      </c>
      <c r="C237" s="288">
        <v>6</v>
      </c>
      <c r="D237" s="171"/>
      <c r="E237" s="171"/>
      <c r="F237" s="106"/>
      <c r="G237" s="310"/>
      <c r="H237" s="175"/>
      <c r="I237" s="261"/>
      <c r="J237" s="175"/>
      <c r="K237" s="182"/>
      <c r="L237" s="311"/>
      <c r="M237" s="261"/>
      <c r="N237" s="261"/>
      <c r="O237" s="261"/>
      <c r="P237" s="16"/>
      <c r="Q237" s="261"/>
      <c r="R237" s="175"/>
      <c r="S237" s="182"/>
      <c r="T237" s="13" t="s">
        <v>501</v>
      </c>
      <c r="U237" s="182">
        <v>7500</v>
      </c>
      <c r="V237" s="175"/>
      <c r="W237" s="182"/>
      <c r="X237" s="261"/>
      <c r="Y237" s="261"/>
      <c r="Z237" s="261"/>
      <c r="AA237" s="261"/>
      <c r="AB237" s="24" t="s">
        <v>68</v>
      </c>
      <c r="AC237" s="182">
        <v>9310</v>
      </c>
      <c r="AD237" s="175" t="s">
        <v>684</v>
      </c>
      <c r="AE237" s="290" t="s">
        <v>330</v>
      </c>
      <c r="AF237" s="24" t="s">
        <v>69</v>
      </c>
      <c r="AG237" s="175" t="s">
        <v>70</v>
      </c>
      <c r="AH237" s="175" t="s">
        <v>328</v>
      </c>
      <c r="AI237" s="290">
        <v>2447</v>
      </c>
      <c r="AJ237" s="175" t="s">
        <v>62</v>
      </c>
      <c r="AK237" s="298">
        <v>1230</v>
      </c>
      <c r="AL237" s="299"/>
      <c r="AM237" s="299"/>
      <c r="AN237" s="24" t="s">
        <v>73</v>
      </c>
      <c r="AO237" s="175" t="s">
        <v>74</v>
      </c>
      <c r="AP237" s="175" t="s">
        <v>666</v>
      </c>
      <c r="AQ237" s="290" t="s">
        <v>893</v>
      </c>
      <c r="AR237" s="149"/>
      <c r="AS237" s="149"/>
      <c r="AT237" s="26"/>
      <c r="AU237" s="26"/>
    </row>
    <row r="238" spans="1:47" s="51" customFormat="1" ht="153">
      <c r="A238" s="81"/>
      <c r="B238" s="291"/>
      <c r="C238" s="291"/>
      <c r="D238" s="108"/>
      <c r="E238" s="108"/>
      <c r="F238" s="110"/>
      <c r="G238" s="312"/>
      <c r="H238" s="22"/>
      <c r="I238" s="22"/>
      <c r="J238" s="231"/>
      <c r="K238" s="292"/>
      <c r="L238" s="22"/>
      <c r="M238" s="22"/>
      <c r="N238" s="22"/>
      <c r="O238" s="22"/>
      <c r="P238" s="22"/>
      <c r="Q238" s="22"/>
      <c r="R238" s="22"/>
      <c r="S238" s="22"/>
      <c r="T238" s="18" t="s">
        <v>599</v>
      </c>
      <c r="U238" s="292">
        <v>40000</v>
      </c>
      <c r="V238" s="231"/>
      <c r="W238" s="292"/>
      <c r="X238" s="22"/>
      <c r="Y238" s="22"/>
      <c r="Z238" s="22"/>
      <c r="AA238" s="22"/>
      <c r="AB238" s="22"/>
      <c r="AC238" s="22"/>
      <c r="AD238" s="22"/>
      <c r="AE238" s="22"/>
      <c r="AF238" s="25" t="s">
        <v>613</v>
      </c>
      <c r="AG238" s="231" t="s">
        <v>71</v>
      </c>
      <c r="AH238" s="147" t="s">
        <v>892</v>
      </c>
      <c r="AI238" s="148" t="s">
        <v>891</v>
      </c>
      <c r="AJ238" s="147" t="s">
        <v>72</v>
      </c>
      <c r="AK238" s="307">
        <v>1204</v>
      </c>
      <c r="AL238" s="308"/>
      <c r="AM238" s="308"/>
      <c r="AN238" s="25" t="s">
        <v>75</v>
      </c>
      <c r="AO238" s="231" t="s">
        <v>76</v>
      </c>
      <c r="AP238" s="147" t="s">
        <v>329</v>
      </c>
      <c r="AQ238" s="148" t="s">
        <v>894</v>
      </c>
      <c r="AR238" s="22"/>
      <c r="AS238" s="22"/>
      <c r="AT238" s="50"/>
      <c r="AU238" s="50"/>
    </row>
    <row r="239" spans="1:47" s="51" customFormat="1" ht="153">
      <c r="A239" s="81"/>
      <c r="B239" s="291"/>
      <c r="C239" s="291"/>
      <c r="D239" s="108"/>
      <c r="E239" s="108"/>
      <c r="F239" s="110"/>
      <c r="G239" s="312"/>
      <c r="H239" s="22"/>
      <c r="I239" s="22"/>
      <c r="J239" s="231"/>
      <c r="K239" s="292"/>
      <c r="L239" s="22"/>
      <c r="M239" s="22"/>
      <c r="N239" s="22"/>
      <c r="O239" s="22"/>
      <c r="P239" s="22"/>
      <c r="Q239" s="22"/>
      <c r="R239" s="231" t="s">
        <v>797</v>
      </c>
      <c r="S239" s="231" t="s">
        <v>895</v>
      </c>
      <c r="T239" s="18" t="s">
        <v>596</v>
      </c>
      <c r="U239" s="292">
        <v>6500</v>
      </c>
      <c r="V239" s="231"/>
      <c r="W239" s="292"/>
      <c r="X239" s="22"/>
      <c r="Y239" s="22"/>
      <c r="Z239" s="22"/>
      <c r="AA239" s="22"/>
      <c r="AB239" s="22"/>
      <c r="AC239" s="22"/>
      <c r="AD239" s="22"/>
      <c r="AE239" s="22"/>
      <c r="AF239" s="25"/>
      <c r="AG239" s="231"/>
      <c r="AH239" s="231" t="s">
        <v>574</v>
      </c>
      <c r="AI239" s="313" t="s">
        <v>890</v>
      </c>
      <c r="AJ239" s="231"/>
      <c r="AK239" s="307"/>
      <c r="AL239" s="308"/>
      <c r="AM239" s="308"/>
      <c r="AN239" s="25"/>
      <c r="AO239" s="231"/>
      <c r="AP239" s="231"/>
      <c r="AQ239" s="307"/>
      <c r="AR239" s="22"/>
      <c r="AS239" s="22"/>
      <c r="AT239" s="50"/>
      <c r="AU239" s="50"/>
    </row>
    <row r="240" spans="1:47" s="51" customFormat="1" ht="165.75">
      <c r="A240" s="81"/>
      <c r="B240" s="293"/>
      <c r="C240" s="293"/>
      <c r="D240" s="109"/>
      <c r="E240" s="109"/>
      <c r="F240" s="131"/>
      <c r="G240" s="214"/>
      <c r="H240" s="149"/>
      <c r="I240" s="149"/>
      <c r="J240" s="147"/>
      <c r="K240" s="27"/>
      <c r="L240" s="149"/>
      <c r="M240" s="149"/>
      <c r="N240" s="149"/>
      <c r="O240" s="149"/>
      <c r="P240" s="149"/>
      <c r="Q240" s="149"/>
      <c r="R240" s="149"/>
      <c r="S240" s="149"/>
      <c r="T240" s="147" t="s">
        <v>600</v>
      </c>
      <c r="U240" s="27">
        <v>30000</v>
      </c>
      <c r="V240" s="147"/>
      <c r="W240" s="27"/>
      <c r="X240" s="149"/>
      <c r="Y240" s="149"/>
      <c r="Z240" s="149"/>
      <c r="AA240" s="149"/>
      <c r="AB240" s="149"/>
      <c r="AC240" s="149"/>
      <c r="AD240" s="149"/>
      <c r="AE240" s="149"/>
      <c r="AF240" s="19"/>
      <c r="AG240" s="147"/>
      <c r="AH240" s="147"/>
      <c r="AI240" s="314"/>
      <c r="AJ240" s="147"/>
      <c r="AK240" s="315"/>
      <c r="AL240" s="316"/>
      <c r="AM240" s="316"/>
      <c r="AN240" s="19"/>
      <c r="AO240" s="147"/>
      <c r="AP240" s="147"/>
      <c r="AQ240" s="315"/>
      <c r="AR240" s="149"/>
      <c r="AS240" s="149"/>
      <c r="AT240" s="26"/>
      <c r="AU240" s="26"/>
    </row>
    <row r="241" spans="1:47" s="51" customFormat="1" ht="13.5" thickBot="1">
      <c r="A241" s="82"/>
      <c r="B241" s="169" t="s">
        <v>21</v>
      </c>
      <c r="C241" s="170"/>
      <c r="D241" s="63">
        <v>206219.5</v>
      </c>
      <c r="E241" s="63">
        <v>-258017.45</v>
      </c>
      <c r="F241" s="172">
        <f>SUM(I241,M241,Q241,U241,Y241,AC241,AG241,AK241,AO241,AS241)</f>
        <v>160734</v>
      </c>
      <c r="G241" s="172">
        <v>136406</v>
      </c>
      <c r="H241" s="239"/>
      <c r="I241" s="239"/>
      <c r="J241" s="239"/>
      <c r="K241" s="275"/>
      <c r="L241" s="239"/>
      <c r="M241" s="239"/>
      <c r="N241" s="239"/>
      <c r="O241" s="239"/>
      <c r="P241" s="239"/>
      <c r="Q241" s="239"/>
      <c r="R241" s="239"/>
      <c r="S241" s="275">
        <f>25067+14539</f>
        <v>39606</v>
      </c>
      <c r="T241" s="239"/>
      <c r="U241" s="275">
        <v>84000</v>
      </c>
      <c r="V241" s="239"/>
      <c r="W241" s="275"/>
      <c r="X241" s="239"/>
      <c r="Y241" s="239"/>
      <c r="Z241" s="239"/>
      <c r="AA241" s="239"/>
      <c r="AB241" s="239"/>
      <c r="AC241" s="275">
        <v>9310</v>
      </c>
      <c r="AD241" s="239"/>
      <c r="AE241" s="275">
        <f>3848+3941</f>
        <v>7789</v>
      </c>
      <c r="AF241" s="317"/>
      <c r="AG241" s="318">
        <v>28760</v>
      </c>
      <c r="AH241" s="319"/>
      <c r="AI241" s="318">
        <f>2447+1227+1562+20284+22227</f>
        <v>47747</v>
      </c>
      <c r="AJ241" s="319"/>
      <c r="AK241" s="318">
        <v>2434</v>
      </c>
      <c r="AL241" s="319"/>
      <c r="AM241" s="319"/>
      <c r="AN241" s="239"/>
      <c r="AO241" s="275">
        <v>36230</v>
      </c>
      <c r="AP241" s="319"/>
      <c r="AQ241" s="318">
        <f>6946+4155+1048+4705+23767+643</f>
        <v>41264</v>
      </c>
      <c r="AR241" s="239"/>
      <c r="AS241" s="239"/>
      <c r="AT241" s="240"/>
      <c r="AU241" s="240"/>
    </row>
    <row r="242" spans="1:47" s="51" customFormat="1" ht="128.25" thickTop="1">
      <c r="A242" s="80">
        <v>76</v>
      </c>
      <c r="B242" s="297" t="s">
        <v>4</v>
      </c>
      <c r="C242" s="288">
        <v>7</v>
      </c>
      <c r="D242" s="171"/>
      <c r="E242" s="171"/>
      <c r="F242" s="284"/>
      <c r="G242" s="289"/>
      <c r="H242" s="16"/>
      <c r="I242" s="261"/>
      <c r="J242" s="175" t="s">
        <v>898</v>
      </c>
      <c r="K242" s="175" t="s">
        <v>899</v>
      </c>
      <c r="L242" s="261"/>
      <c r="M242" s="261"/>
      <c r="N242" s="261"/>
      <c r="O242" s="261"/>
      <c r="P242" s="16" t="s">
        <v>530</v>
      </c>
      <c r="Q242" s="182">
        <v>14000</v>
      </c>
      <c r="R242" s="175" t="s">
        <v>342</v>
      </c>
      <c r="S242" s="290" t="s">
        <v>421</v>
      </c>
      <c r="T242" s="13" t="s">
        <v>501</v>
      </c>
      <c r="U242" s="182">
        <v>7500</v>
      </c>
      <c r="V242" s="175" t="s">
        <v>900</v>
      </c>
      <c r="W242" s="261">
        <v>3661</v>
      </c>
      <c r="X242" s="261"/>
      <c r="Y242" s="261"/>
      <c r="Z242" s="261"/>
      <c r="AA242" s="261"/>
      <c r="AB242" s="24" t="s">
        <v>58</v>
      </c>
      <c r="AC242" s="27">
        <v>14896</v>
      </c>
      <c r="AD242" s="147"/>
      <c r="AE242" s="27"/>
      <c r="AF242" s="24" t="s">
        <v>340</v>
      </c>
      <c r="AG242" s="175" t="s">
        <v>341</v>
      </c>
      <c r="AH242" s="175" t="s">
        <v>685</v>
      </c>
      <c r="AI242" s="290" t="s">
        <v>901</v>
      </c>
      <c r="AJ242" s="175" t="s">
        <v>37</v>
      </c>
      <c r="AK242" s="175" t="s">
        <v>46</v>
      </c>
      <c r="AL242" s="299"/>
      <c r="AM242" s="299"/>
      <c r="AN242" s="24" t="s">
        <v>79</v>
      </c>
      <c r="AO242" s="175" t="s">
        <v>80</v>
      </c>
      <c r="AP242" s="175" t="s">
        <v>794</v>
      </c>
      <c r="AQ242" s="290" t="s">
        <v>896</v>
      </c>
      <c r="AR242" s="149"/>
      <c r="AS242" s="149"/>
      <c r="AT242" s="26"/>
      <c r="AU242" s="26"/>
    </row>
    <row r="243" spans="1:47" s="51" customFormat="1" ht="153">
      <c r="A243" s="81"/>
      <c r="B243" s="300"/>
      <c r="C243" s="293"/>
      <c r="D243" s="109"/>
      <c r="E243" s="109"/>
      <c r="F243" s="285"/>
      <c r="G243" s="158"/>
      <c r="H243" s="18"/>
      <c r="I243" s="22"/>
      <c r="J243" s="22"/>
      <c r="K243" s="22"/>
      <c r="L243" s="22"/>
      <c r="M243" s="22"/>
      <c r="N243" s="22"/>
      <c r="O243" s="22"/>
      <c r="P243" s="18"/>
      <c r="Q243" s="22"/>
      <c r="R243" s="22"/>
      <c r="S243" s="22"/>
      <c r="T243" s="18" t="s">
        <v>598</v>
      </c>
      <c r="U243" s="292">
        <v>32000</v>
      </c>
      <c r="V243" s="22"/>
      <c r="W243" s="22"/>
      <c r="X243" s="22"/>
      <c r="Y243" s="22"/>
      <c r="Z243" s="22"/>
      <c r="AA243" s="22"/>
      <c r="AB243" s="125"/>
      <c r="AC243" s="22"/>
      <c r="AD243" s="22"/>
      <c r="AE243" s="22"/>
      <c r="AF243" s="25" t="s">
        <v>618</v>
      </c>
      <c r="AG243" s="231" t="s">
        <v>77</v>
      </c>
      <c r="AH243" s="308"/>
      <c r="AI243" s="308"/>
      <c r="AJ243" s="231" t="s">
        <v>78</v>
      </c>
      <c r="AK243" s="307">
        <v>1204</v>
      </c>
      <c r="AL243" s="308"/>
      <c r="AM243" s="308"/>
      <c r="AN243" s="25" t="s">
        <v>81</v>
      </c>
      <c r="AO243" s="231" t="s">
        <v>82</v>
      </c>
      <c r="AP243" s="231" t="s">
        <v>897</v>
      </c>
      <c r="AQ243" s="231">
        <v>2514</v>
      </c>
      <c r="AR243" s="22"/>
      <c r="AS243" s="22"/>
      <c r="AT243" s="50"/>
      <c r="AU243" s="50"/>
    </row>
    <row r="244" spans="1:47" s="51" customFormat="1" ht="13.5" thickBot="1">
      <c r="A244" s="82"/>
      <c r="B244" s="169" t="s">
        <v>21</v>
      </c>
      <c r="C244" s="170"/>
      <c r="D244" s="63">
        <v>187739.8</v>
      </c>
      <c r="E244" s="63">
        <v>-161975.29</v>
      </c>
      <c r="F244" s="64">
        <f>SUM(I244,M244,Q244,U244,Y244,AC244,AG244,AK244,AO244,AS244)</f>
        <v>134024</v>
      </c>
      <c r="G244" s="64">
        <v>101115</v>
      </c>
      <c r="H244" s="69"/>
      <c r="I244" s="69"/>
      <c r="J244" s="69"/>
      <c r="K244" s="69">
        <f>3010+1239+1077</f>
        <v>5326</v>
      </c>
      <c r="L244" s="69"/>
      <c r="M244" s="69"/>
      <c r="N244" s="69"/>
      <c r="O244" s="69"/>
      <c r="P244" s="69"/>
      <c r="Q244" s="70">
        <v>14000</v>
      </c>
      <c r="R244" s="69"/>
      <c r="S244" s="70">
        <f>14528+2940</f>
        <v>17468</v>
      </c>
      <c r="T244" s="69"/>
      <c r="U244" s="70">
        <v>39500</v>
      </c>
      <c r="V244" s="69"/>
      <c r="W244" s="69">
        <f>W242</f>
        <v>3661</v>
      </c>
      <c r="X244" s="69"/>
      <c r="Y244" s="69"/>
      <c r="Z244" s="215"/>
      <c r="AA244" s="215"/>
      <c r="AB244" s="215"/>
      <c r="AC244" s="294">
        <v>14896</v>
      </c>
      <c r="AD244" s="215"/>
      <c r="AE244" s="294"/>
      <c r="AF244" s="25"/>
      <c r="AG244" s="295">
        <v>25008</v>
      </c>
      <c r="AH244" s="296"/>
      <c r="AI244" s="295">
        <f>1185+46327+5111</f>
        <v>52623</v>
      </c>
      <c r="AJ244" s="296"/>
      <c r="AK244" s="295">
        <v>2434</v>
      </c>
      <c r="AL244" s="296"/>
      <c r="AM244" s="296"/>
      <c r="AN244" s="69"/>
      <c r="AO244" s="70">
        <v>38186</v>
      </c>
      <c r="AP244" s="296"/>
      <c r="AQ244" s="295">
        <f>716+458+13656+2514+2179+2514</f>
        <v>22037</v>
      </c>
      <c r="AR244" s="69"/>
      <c r="AS244" s="69"/>
      <c r="AT244" s="71"/>
      <c r="AU244" s="71"/>
    </row>
    <row r="245" spans="1:47" s="51" customFormat="1" ht="153.75" thickTop="1">
      <c r="A245" s="80">
        <v>77</v>
      </c>
      <c r="B245" s="297" t="s">
        <v>4</v>
      </c>
      <c r="C245" s="288" t="s">
        <v>5</v>
      </c>
      <c r="D245" s="171"/>
      <c r="E245" s="171"/>
      <c r="F245" s="284"/>
      <c r="G245" s="289"/>
      <c r="H245" s="13" t="s">
        <v>531</v>
      </c>
      <c r="I245" s="182">
        <v>2600</v>
      </c>
      <c r="J245" s="175" t="s">
        <v>761</v>
      </c>
      <c r="K245" s="175" t="s">
        <v>906</v>
      </c>
      <c r="L245" s="261"/>
      <c r="M245" s="261"/>
      <c r="N245" s="261"/>
      <c r="O245" s="261"/>
      <c r="P245" s="16"/>
      <c r="Q245" s="261"/>
      <c r="R245" s="175" t="s">
        <v>797</v>
      </c>
      <c r="S245" s="182">
        <v>2921</v>
      </c>
      <c r="T245" s="13" t="s">
        <v>501</v>
      </c>
      <c r="U245" s="182">
        <v>7500</v>
      </c>
      <c r="V245" s="175" t="s">
        <v>904</v>
      </c>
      <c r="W245" s="261">
        <v>3661</v>
      </c>
      <c r="X245" s="15"/>
      <c r="Y245" s="261"/>
      <c r="Z245" s="175" t="s">
        <v>905</v>
      </c>
      <c r="AA245" s="261">
        <v>1774</v>
      </c>
      <c r="AB245" s="24" t="s">
        <v>68</v>
      </c>
      <c r="AC245" s="182">
        <v>9310</v>
      </c>
      <c r="AD245" s="175" t="s">
        <v>686</v>
      </c>
      <c r="AE245" s="175" t="s">
        <v>903</v>
      </c>
      <c r="AF245" s="24" t="s">
        <v>83</v>
      </c>
      <c r="AG245" s="175" t="s">
        <v>84</v>
      </c>
      <c r="AH245" s="175" t="s">
        <v>439</v>
      </c>
      <c r="AI245" s="290" t="s">
        <v>902</v>
      </c>
      <c r="AJ245" s="175" t="s">
        <v>62</v>
      </c>
      <c r="AK245" s="298">
        <v>1230</v>
      </c>
      <c r="AL245" s="299"/>
      <c r="AM245" s="299"/>
      <c r="AN245" s="24" t="s">
        <v>85</v>
      </c>
      <c r="AO245" s="175" t="s">
        <v>86</v>
      </c>
      <c r="AP245" s="175" t="s">
        <v>312</v>
      </c>
      <c r="AQ245" s="290">
        <v>4526</v>
      </c>
      <c r="AR245" s="149"/>
      <c r="AS245" s="149"/>
      <c r="AT245" s="26"/>
      <c r="AU245" s="26"/>
    </row>
    <row r="246" spans="1:47" s="51" customFormat="1" ht="153">
      <c r="A246" s="81"/>
      <c r="B246" s="300"/>
      <c r="C246" s="293"/>
      <c r="D246" s="109"/>
      <c r="E246" s="109"/>
      <c r="F246" s="285"/>
      <c r="G246" s="158"/>
      <c r="H246" s="305"/>
      <c r="I246" s="22"/>
      <c r="J246" s="22"/>
      <c r="K246" s="22"/>
      <c r="L246" s="22"/>
      <c r="M246" s="22"/>
      <c r="N246" s="22"/>
      <c r="O246" s="22"/>
      <c r="P246" s="18"/>
      <c r="Q246" s="22"/>
      <c r="R246" s="231"/>
      <c r="S246" s="292"/>
      <c r="T246" s="18" t="s">
        <v>598</v>
      </c>
      <c r="U246" s="292">
        <v>32000</v>
      </c>
      <c r="V246" s="22"/>
      <c r="W246" s="22"/>
      <c r="X246" s="125"/>
      <c r="Y246" s="22"/>
      <c r="Z246" s="22"/>
      <c r="AA246" s="22"/>
      <c r="AB246" s="125"/>
      <c r="AC246" s="22"/>
      <c r="AD246" s="22"/>
      <c r="AE246" s="22"/>
      <c r="AF246" s="25" t="s">
        <v>618</v>
      </c>
      <c r="AG246" s="231" t="s">
        <v>77</v>
      </c>
      <c r="AH246" s="147" t="s">
        <v>561</v>
      </c>
      <c r="AI246" s="147">
        <v>1683</v>
      </c>
      <c r="AJ246" s="147" t="s">
        <v>63</v>
      </c>
      <c r="AK246" s="307">
        <v>1204</v>
      </c>
      <c r="AL246" s="308"/>
      <c r="AM246" s="308"/>
      <c r="AN246" s="25" t="s">
        <v>87</v>
      </c>
      <c r="AO246" s="231" t="s">
        <v>88</v>
      </c>
      <c r="AP246" s="316"/>
      <c r="AQ246" s="316"/>
      <c r="AR246" s="22"/>
      <c r="AS246" s="22"/>
      <c r="AT246" s="50"/>
      <c r="AU246" s="50"/>
    </row>
    <row r="247" spans="1:47" s="51" customFormat="1" ht="13.5" thickBot="1">
      <c r="A247" s="82"/>
      <c r="B247" s="169" t="s">
        <v>21</v>
      </c>
      <c r="C247" s="170"/>
      <c r="D247" s="63">
        <v>185291.8</v>
      </c>
      <c r="E247" s="63">
        <v>49061.03</v>
      </c>
      <c r="F247" s="64">
        <f>SUM(I247,M247,Q247,U247,Y247,AC247,AG247,AK247,AO247,AS247)</f>
        <v>99879</v>
      </c>
      <c r="G247" s="64">
        <v>82359</v>
      </c>
      <c r="H247" s="69"/>
      <c r="I247" s="70">
        <v>2600</v>
      </c>
      <c r="J247" s="69"/>
      <c r="K247" s="69">
        <f>2926+3785</f>
        <v>6711</v>
      </c>
      <c r="L247" s="69"/>
      <c r="M247" s="69"/>
      <c r="N247" s="69"/>
      <c r="O247" s="69"/>
      <c r="P247" s="69"/>
      <c r="Q247" s="69"/>
      <c r="R247" s="69"/>
      <c r="S247" s="70">
        <f>S245</f>
        <v>2921</v>
      </c>
      <c r="T247" s="69"/>
      <c r="U247" s="70">
        <v>39500</v>
      </c>
      <c r="V247" s="69"/>
      <c r="W247" s="69">
        <f>W245</f>
        <v>3661</v>
      </c>
      <c r="X247" s="69"/>
      <c r="Y247" s="69"/>
      <c r="Z247" s="69"/>
      <c r="AA247" s="69">
        <f>AA245</f>
        <v>1774</v>
      </c>
      <c r="AB247" s="69"/>
      <c r="AC247" s="70">
        <v>9310</v>
      </c>
      <c r="AD247" s="69"/>
      <c r="AE247" s="69">
        <f>4114+1432</f>
        <v>5546</v>
      </c>
      <c r="AF247" s="309"/>
      <c r="AG247" s="295">
        <v>14630</v>
      </c>
      <c r="AH247" s="296"/>
      <c r="AI247" s="295">
        <f>9312+42306+2721+1198+1683</f>
        <v>57220</v>
      </c>
      <c r="AJ247" s="296"/>
      <c r="AK247" s="295">
        <v>2434</v>
      </c>
      <c r="AL247" s="296"/>
      <c r="AM247" s="296"/>
      <c r="AN247" s="69"/>
      <c r="AO247" s="70">
        <v>31405</v>
      </c>
      <c r="AP247" s="296"/>
      <c r="AQ247" s="295">
        <v>4526</v>
      </c>
      <c r="AR247" s="69"/>
      <c r="AS247" s="69"/>
      <c r="AT247" s="71"/>
      <c r="AU247" s="71"/>
    </row>
    <row r="248" spans="1:47" s="51" customFormat="1" ht="166.5" thickTop="1">
      <c r="A248" s="80">
        <v>78</v>
      </c>
      <c r="B248" s="297" t="s">
        <v>4</v>
      </c>
      <c r="C248" s="288">
        <v>8</v>
      </c>
      <c r="D248" s="171"/>
      <c r="E248" s="171"/>
      <c r="F248" s="284"/>
      <c r="G248" s="289"/>
      <c r="H248" s="13" t="s">
        <v>532</v>
      </c>
      <c r="I248" s="182">
        <v>3900</v>
      </c>
      <c r="J248" s="175" t="s">
        <v>911</v>
      </c>
      <c r="K248" s="261">
        <v>123151</v>
      </c>
      <c r="L248" s="261"/>
      <c r="M248" s="261"/>
      <c r="N248" s="261"/>
      <c r="O248" s="261"/>
      <c r="P248" s="175"/>
      <c r="Q248" s="261"/>
      <c r="R248" s="311"/>
      <c r="S248" s="182"/>
      <c r="T248" s="13" t="s">
        <v>533</v>
      </c>
      <c r="U248" s="182">
        <v>12500</v>
      </c>
      <c r="V248" s="175" t="s">
        <v>910</v>
      </c>
      <c r="W248" s="175" t="s">
        <v>909</v>
      </c>
      <c r="X248" s="261"/>
      <c r="Y248" s="261"/>
      <c r="Z248" s="311"/>
      <c r="AA248" s="182"/>
      <c r="AB248" s="24" t="s">
        <v>68</v>
      </c>
      <c r="AC248" s="182">
        <v>9310</v>
      </c>
      <c r="AD248" s="175" t="s">
        <v>687</v>
      </c>
      <c r="AE248" s="175" t="s">
        <v>405</v>
      </c>
      <c r="AF248" s="24" t="s">
        <v>89</v>
      </c>
      <c r="AG248" s="16" t="s">
        <v>90</v>
      </c>
      <c r="AH248" s="16" t="s">
        <v>422</v>
      </c>
      <c r="AI248" s="16" t="s">
        <v>908</v>
      </c>
      <c r="AJ248" s="175" t="s">
        <v>62</v>
      </c>
      <c r="AK248" s="14">
        <v>1230</v>
      </c>
      <c r="AL248" s="15"/>
      <c r="AM248" s="15"/>
      <c r="AN248" s="24" t="s">
        <v>85</v>
      </c>
      <c r="AO248" s="175" t="s">
        <v>86</v>
      </c>
      <c r="AP248" s="16" t="s">
        <v>794</v>
      </c>
      <c r="AQ248" s="20" t="s">
        <v>907</v>
      </c>
      <c r="AR248" s="149"/>
      <c r="AS248" s="149"/>
      <c r="AT248" s="26"/>
      <c r="AU248" s="26"/>
    </row>
    <row r="249" spans="1:47" s="51" customFormat="1" ht="153">
      <c r="A249" s="81"/>
      <c r="B249" s="300"/>
      <c r="C249" s="293"/>
      <c r="D249" s="109"/>
      <c r="E249" s="109"/>
      <c r="F249" s="286"/>
      <c r="G249" s="149"/>
      <c r="H249" s="22"/>
      <c r="I249" s="305" t="s">
        <v>31</v>
      </c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18" t="s">
        <v>598</v>
      </c>
      <c r="U249" s="292">
        <v>32000</v>
      </c>
      <c r="V249" s="22"/>
      <c r="W249" s="22"/>
      <c r="X249" s="22"/>
      <c r="Y249" s="22"/>
      <c r="Z249" s="305"/>
      <c r="AA249" s="292"/>
      <c r="AB249" s="22"/>
      <c r="AC249" s="22"/>
      <c r="AD249" s="22"/>
      <c r="AE249" s="22"/>
      <c r="AF249" s="25" t="s">
        <v>613</v>
      </c>
      <c r="AG249" s="18" t="s">
        <v>71</v>
      </c>
      <c r="AH249" s="13" t="s">
        <v>442</v>
      </c>
      <c r="AI249" s="57">
        <v>948</v>
      </c>
      <c r="AJ249" s="147" t="s">
        <v>63</v>
      </c>
      <c r="AK249" s="127">
        <v>1204</v>
      </c>
      <c r="AL249" s="125"/>
      <c r="AM249" s="125"/>
      <c r="AN249" s="25" t="s">
        <v>91</v>
      </c>
      <c r="AO249" s="231" t="s">
        <v>92</v>
      </c>
      <c r="AP249" s="13" t="s">
        <v>820</v>
      </c>
      <c r="AQ249" s="57">
        <v>6048</v>
      </c>
      <c r="AR249" s="22"/>
      <c r="AS249" s="22"/>
      <c r="AT249" s="50"/>
      <c r="AU249" s="50"/>
    </row>
    <row r="250" spans="1:47" s="51" customFormat="1" ht="13.5" thickBot="1">
      <c r="A250" s="82"/>
      <c r="B250" s="169" t="s">
        <v>21</v>
      </c>
      <c r="C250" s="170"/>
      <c r="D250" s="63">
        <v>246562.6</v>
      </c>
      <c r="E250" s="63">
        <v>-27444.14</v>
      </c>
      <c r="F250" s="172">
        <f>SUM(I250,M250,Q250,U250,Y250,AC250,AG250,AK250,AO250,AS250)</f>
        <v>98322</v>
      </c>
      <c r="G250" s="172">
        <v>171019</v>
      </c>
      <c r="H250" s="69"/>
      <c r="I250" s="70">
        <v>3900</v>
      </c>
      <c r="J250" s="69"/>
      <c r="K250" s="69">
        <f>K248</f>
        <v>123151</v>
      </c>
      <c r="L250" s="69"/>
      <c r="M250" s="69"/>
      <c r="N250" s="69"/>
      <c r="O250" s="69"/>
      <c r="P250" s="69"/>
      <c r="Q250" s="69"/>
      <c r="R250" s="69"/>
      <c r="S250" s="70"/>
      <c r="T250" s="69"/>
      <c r="U250" s="70">
        <v>44500</v>
      </c>
      <c r="V250" s="69"/>
      <c r="W250" s="69">
        <f>7005+149</f>
        <v>7154</v>
      </c>
      <c r="X250" s="69"/>
      <c r="Y250" s="69"/>
      <c r="Z250" s="69"/>
      <c r="AA250" s="70"/>
      <c r="AB250" s="69"/>
      <c r="AC250" s="70">
        <v>9310</v>
      </c>
      <c r="AD250" s="69"/>
      <c r="AE250" s="69">
        <f>3979+10441</f>
        <v>14420</v>
      </c>
      <c r="AF250" s="67"/>
      <c r="AG250" s="295">
        <v>12492</v>
      </c>
      <c r="AH250" s="296"/>
      <c r="AI250" s="296">
        <f>1927+6024+1992+948</f>
        <v>10891</v>
      </c>
      <c r="AJ250" s="296"/>
      <c r="AK250" s="295">
        <v>2434</v>
      </c>
      <c r="AL250" s="296"/>
      <c r="AM250" s="296"/>
      <c r="AN250" s="69"/>
      <c r="AO250" s="70">
        <v>25686</v>
      </c>
      <c r="AP250" s="320"/>
      <c r="AQ250" s="295">
        <f>6047+3308+6048</f>
        <v>15403</v>
      </c>
      <c r="AR250" s="69"/>
      <c r="AS250" s="69"/>
      <c r="AT250" s="71"/>
      <c r="AU250" s="71"/>
    </row>
    <row r="251" spans="1:47" s="51" customFormat="1" ht="166.5" thickTop="1">
      <c r="A251" s="80">
        <v>79</v>
      </c>
      <c r="B251" s="297" t="s">
        <v>4</v>
      </c>
      <c r="C251" s="288">
        <v>9</v>
      </c>
      <c r="D251" s="171"/>
      <c r="E251" s="171"/>
      <c r="F251" s="284"/>
      <c r="G251" s="289"/>
      <c r="H251" s="311"/>
      <c r="I251" s="261"/>
      <c r="J251" s="175" t="s">
        <v>919</v>
      </c>
      <c r="K251" s="175" t="s">
        <v>920</v>
      </c>
      <c r="L251" s="261"/>
      <c r="M251" s="261"/>
      <c r="N251" s="261"/>
      <c r="O251" s="261"/>
      <c r="P251" s="16"/>
      <c r="Q251" s="261"/>
      <c r="R251" s="175" t="s">
        <v>342</v>
      </c>
      <c r="S251" s="290" t="s">
        <v>918</v>
      </c>
      <c r="T251" s="13" t="s">
        <v>533</v>
      </c>
      <c r="U251" s="182">
        <v>12500</v>
      </c>
      <c r="V251" s="175" t="s">
        <v>563</v>
      </c>
      <c r="W251" s="261">
        <v>6791</v>
      </c>
      <c r="X251" s="16" t="s">
        <v>544</v>
      </c>
      <c r="Y251" s="182">
        <v>15000</v>
      </c>
      <c r="Z251" s="261"/>
      <c r="AA251" s="261"/>
      <c r="AB251" s="24"/>
      <c r="AC251" s="261"/>
      <c r="AD251" s="175" t="s">
        <v>916</v>
      </c>
      <c r="AE251" s="175" t="s">
        <v>915</v>
      </c>
      <c r="AF251" s="24" t="s">
        <v>95</v>
      </c>
      <c r="AG251" s="175" t="s">
        <v>94</v>
      </c>
      <c r="AH251" s="175" t="s">
        <v>688</v>
      </c>
      <c r="AI251" s="175" t="s">
        <v>914</v>
      </c>
      <c r="AJ251" s="175" t="s">
        <v>62</v>
      </c>
      <c r="AK251" s="298">
        <v>1230</v>
      </c>
      <c r="AL251" s="299"/>
      <c r="AM251" s="299"/>
      <c r="AN251" s="24" t="s">
        <v>96</v>
      </c>
      <c r="AO251" s="175" t="s">
        <v>99</v>
      </c>
      <c r="AP251" s="175" t="s">
        <v>663</v>
      </c>
      <c r="AQ251" s="290" t="s">
        <v>912</v>
      </c>
      <c r="AR251" s="149"/>
      <c r="AS251" s="149"/>
      <c r="AT251" s="26"/>
      <c r="AU251" s="26"/>
    </row>
    <row r="252" spans="1:47" s="51" customFormat="1" ht="153">
      <c r="A252" s="81"/>
      <c r="B252" s="300"/>
      <c r="C252" s="293"/>
      <c r="D252" s="109"/>
      <c r="E252" s="109"/>
      <c r="F252" s="285"/>
      <c r="G252" s="158"/>
      <c r="H252" s="305"/>
      <c r="I252" s="22"/>
      <c r="J252" s="22"/>
      <c r="K252" s="22"/>
      <c r="L252" s="22"/>
      <c r="M252" s="22"/>
      <c r="N252" s="22"/>
      <c r="O252" s="22"/>
      <c r="P252" s="18"/>
      <c r="Q252" s="22"/>
      <c r="R252" s="231"/>
      <c r="S252" s="292"/>
      <c r="T252" s="18" t="s">
        <v>598</v>
      </c>
      <c r="U252" s="292">
        <v>32000</v>
      </c>
      <c r="V252" s="231" t="s">
        <v>917</v>
      </c>
      <c r="W252" s="22">
        <v>5093</v>
      </c>
      <c r="X252" s="306"/>
      <c r="Y252" s="22"/>
      <c r="Z252" s="22"/>
      <c r="AA252" s="22"/>
      <c r="AB252" s="125"/>
      <c r="AC252" s="22"/>
      <c r="AD252" s="22"/>
      <c r="AE252" s="22"/>
      <c r="AF252" s="25" t="s">
        <v>615</v>
      </c>
      <c r="AG252" s="231" t="s">
        <v>93</v>
      </c>
      <c r="AH252" s="147" t="s">
        <v>575</v>
      </c>
      <c r="AI252" s="316">
        <v>4650</v>
      </c>
      <c r="AJ252" s="147" t="s">
        <v>63</v>
      </c>
      <c r="AK252" s="307">
        <v>1204</v>
      </c>
      <c r="AL252" s="308"/>
      <c r="AM252" s="308"/>
      <c r="AN252" s="25" t="s">
        <v>97</v>
      </c>
      <c r="AO252" s="231" t="s">
        <v>98</v>
      </c>
      <c r="AP252" s="147" t="s">
        <v>443</v>
      </c>
      <c r="AQ252" s="148" t="s">
        <v>913</v>
      </c>
      <c r="AR252" s="22"/>
      <c r="AS252" s="22"/>
      <c r="AT252" s="50"/>
      <c r="AU252" s="50"/>
    </row>
    <row r="253" spans="1:47" s="51" customFormat="1" ht="13.5" thickBot="1">
      <c r="A253" s="82"/>
      <c r="B253" s="169" t="s">
        <v>21</v>
      </c>
      <c r="C253" s="170"/>
      <c r="D253" s="63">
        <v>240453.4</v>
      </c>
      <c r="E253" s="63">
        <v>70395.820000000007</v>
      </c>
      <c r="F253" s="64">
        <f>SUM(I253,M253,Q253,U253,Y253,AC253,AG253,AK253,AO253,AS253)</f>
        <v>119910</v>
      </c>
      <c r="G253" s="64">
        <v>199155</v>
      </c>
      <c r="H253" s="69"/>
      <c r="I253" s="69"/>
      <c r="J253" s="69"/>
      <c r="K253" s="69">
        <f>3925+2240+1037</f>
        <v>7202</v>
      </c>
      <c r="L253" s="69"/>
      <c r="M253" s="69"/>
      <c r="N253" s="69"/>
      <c r="O253" s="69"/>
      <c r="P253" s="69"/>
      <c r="Q253" s="69"/>
      <c r="R253" s="69"/>
      <c r="S253" s="70">
        <f>30666+4990</f>
        <v>35656</v>
      </c>
      <c r="T253" s="69"/>
      <c r="U253" s="70">
        <v>44500</v>
      </c>
      <c r="V253" s="69"/>
      <c r="W253" s="69">
        <f>W252+W251</f>
        <v>11884</v>
      </c>
      <c r="X253" s="69"/>
      <c r="Y253" s="70">
        <v>15000</v>
      </c>
      <c r="Z253" s="69"/>
      <c r="AA253" s="69"/>
      <c r="AB253" s="69"/>
      <c r="AC253" s="69"/>
      <c r="AD253" s="215"/>
      <c r="AE253" s="215">
        <f>9870+21421+10356</f>
        <v>41647</v>
      </c>
      <c r="AF253" s="25"/>
      <c r="AG253" s="295">
        <v>22776</v>
      </c>
      <c r="AH253" s="296"/>
      <c r="AI253" s="295">
        <f>339+6163+15100+787+4650</f>
        <v>27039</v>
      </c>
      <c r="AJ253" s="296"/>
      <c r="AK253" s="295">
        <v>2434</v>
      </c>
      <c r="AL253" s="296"/>
      <c r="AM253" s="296"/>
      <c r="AN253" s="69"/>
      <c r="AO253" s="70">
        <v>35200</v>
      </c>
      <c r="AP253" s="296"/>
      <c r="AQ253" s="295">
        <f>7866+59606+442+661+5125+460+1567</f>
        <v>75727</v>
      </c>
      <c r="AR253" s="69"/>
      <c r="AS253" s="69"/>
      <c r="AT253" s="71"/>
      <c r="AU253" s="71"/>
    </row>
    <row r="254" spans="1:47" s="51" customFormat="1" ht="153.75" thickTop="1">
      <c r="A254" s="80">
        <v>80</v>
      </c>
      <c r="B254" s="297" t="s">
        <v>4</v>
      </c>
      <c r="C254" s="288">
        <v>10</v>
      </c>
      <c r="D254" s="171"/>
      <c r="E254" s="171"/>
      <c r="F254" s="284"/>
      <c r="G254" s="289"/>
      <c r="H254" s="175" t="s">
        <v>534</v>
      </c>
      <c r="I254" s="182">
        <v>11000</v>
      </c>
      <c r="J254" s="175" t="s">
        <v>927</v>
      </c>
      <c r="K254" s="182">
        <v>4999</v>
      </c>
      <c r="L254" s="261"/>
      <c r="M254" s="261"/>
      <c r="N254" s="261"/>
      <c r="O254" s="261"/>
      <c r="P254" s="16"/>
      <c r="Q254" s="261"/>
      <c r="R254" s="175" t="s">
        <v>797</v>
      </c>
      <c r="S254" s="182">
        <v>8354</v>
      </c>
      <c r="T254" s="13" t="s">
        <v>503</v>
      </c>
      <c r="U254" s="182">
        <v>6000</v>
      </c>
      <c r="V254" s="175" t="s">
        <v>929</v>
      </c>
      <c r="W254" s="182">
        <v>1468</v>
      </c>
      <c r="X254" s="261"/>
      <c r="Y254" s="261"/>
      <c r="Z254" s="175" t="s">
        <v>926</v>
      </c>
      <c r="AA254" s="321">
        <v>11291</v>
      </c>
      <c r="AB254" s="24"/>
      <c r="AC254" s="261"/>
      <c r="AD254" s="175" t="s">
        <v>925</v>
      </c>
      <c r="AE254" s="182">
        <f>22420+3465+8192+13897+3886</f>
        <v>51860</v>
      </c>
      <c r="AF254" s="24"/>
      <c r="AG254" s="311"/>
      <c r="AH254" s="147" t="s">
        <v>576</v>
      </c>
      <c r="AI254" s="322">
        <v>1893</v>
      </c>
      <c r="AJ254" s="175" t="s">
        <v>62</v>
      </c>
      <c r="AK254" s="298">
        <v>1230</v>
      </c>
      <c r="AL254" s="299"/>
      <c r="AM254" s="299"/>
      <c r="AN254" s="24" t="s">
        <v>100</v>
      </c>
      <c r="AO254" s="175" t="s">
        <v>101</v>
      </c>
      <c r="AP254" s="175" t="s">
        <v>424</v>
      </c>
      <c r="AQ254" s="290" t="s">
        <v>923</v>
      </c>
      <c r="AR254" s="149"/>
      <c r="AS254" s="149"/>
      <c r="AT254" s="26"/>
      <c r="AU254" s="26"/>
    </row>
    <row r="255" spans="1:47" s="51" customFormat="1" ht="255">
      <c r="A255" s="81"/>
      <c r="B255" s="300"/>
      <c r="C255" s="293"/>
      <c r="D255" s="109"/>
      <c r="E255" s="109"/>
      <c r="F255" s="285"/>
      <c r="G255" s="158"/>
      <c r="H255" s="22"/>
      <c r="I255" s="22"/>
      <c r="J255" s="231" t="s">
        <v>928</v>
      </c>
      <c r="K255" s="306">
        <f>6189+6768+1320+3071</f>
        <v>17348</v>
      </c>
      <c r="L255" s="22"/>
      <c r="M255" s="22"/>
      <c r="N255" s="22"/>
      <c r="O255" s="22"/>
      <c r="P255" s="22"/>
      <c r="Q255" s="22"/>
      <c r="R255" s="231"/>
      <c r="S255" s="292"/>
      <c r="T255" s="18" t="s">
        <v>598</v>
      </c>
      <c r="U255" s="292">
        <v>32000</v>
      </c>
      <c r="V255" s="22"/>
      <c r="W255" s="22"/>
      <c r="X255" s="22"/>
      <c r="Y255" s="22"/>
      <c r="Z255" s="231" t="s">
        <v>868</v>
      </c>
      <c r="AA255" s="306">
        <v>29048</v>
      </c>
      <c r="AB255" s="22"/>
      <c r="AC255" s="22"/>
      <c r="AD255" s="22"/>
      <c r="AE255" s="22"/>
      <c r="AF255" s="25"/>
      <c r="AG255" s="308"/>
      <c r="AH255" s="231" t="s">
        <v>921</v>
      </c>
      <c r="AI255" s="231" t="s">
        <v>922</v>
      </c>
      <c r="AJ255" s="231" t="s">
        <v>63</v>
      </c>
      <c r="AK255" s="307">
        <v>1204</v>
      </c>
      <c r="AL255" s="308"/>
      <c r="AM255" s="308"/>
      <c r="AN255" s="25" t="s">
        <v>689</v>
      </c>
      <c r="AO255" s="231" t="s">
        <v>102</v>
      </c>
      <c r="AP255" s="231" t="s">
        <v>425</v>
      </c>
      <c r="AQ255" s="231" t="s">
        <v>924</v>
      </c>
      <c r="AR255" s="22"/>
      <c r="AS255" s="22"/>
      <c r="AT255" s="50"/>
      <c r="AU255" s="50"/>
    </row>
    <row r="256" spans="1:47" s="51" customFormat="1" ht="13.5" thickBot="1">
      <c r="A256" s="82"/>
      <c r="B256" s="169" t="s">
        <v>21</v>
      </c>
      <c r="C256" s="170"/>
      <c r="D256" s="63">
        <v>182751.4</v>
      </c>
      <c r="E256" s="63">
        <v>32944.15</v>
      </c>
      <c r="F256" s="64">
        <f>SUM(I256,M256,Q256,U256,Y256,AC256,AG256,AK256,AO256,AS256)</f>
        <v>66626</v>
      </c>
      <c r="G256" s="64">
        <v>195674</v>
      </c>
      <c r="H256" s="69"/>
      <c r="I256" s="70">
        <v>11000</v>
      </c>
      <c r="J256" s="69"/>
      <c r="K256" s="70">
        <f>K254+K255</f>
        <v>22347</v>
      </c>
      <c r="L256" s="69"/>
      <c r="M256" s="69"/>
      <c r="N256" s="69"/>
      <c r="O256" s="69"/>
      <c r="P256" s="69"/>
      <c r="Q256" s="69"/>
      <c r="R256" s="69"/>
      <c r="S256" s="70">
        <f>S254</f>
        <v>8354</v>
      </c>
      <c r="T256" s="69"/>
      <c r="U256" s="70">
        <v>38000</v>
      </c>
      <c r="V256" s="69"/>
      <c r="W256" s="70">
        <f>W254</f>
        <v>1468</v>
      </c>
      <c r="X256" s="69"/>
      <c r="Y256" s="69"/>
      <c r="Z256" s="69"/>
      <c r="AA256" s="69">
        <f>AA254+AA255</f>
        <v>40339</v>
      </c>
      <c r="AB256" s="69"/>
      <c r="AC256" s="69"/>
      <c r="AD256" s="69"/>
      <c r="AE256" s="70">
        <f>AE254</f>
        <v>51860</v>
      </c>
      <c r="AF256" s="309"/>
      <c r="AG256" s="296"/>
      <c r="AH256" s="296"/>
      <c r="AI256" s="295">
        <f>11327+881+1893</f>
        <v>14101</v>
      </c>
      <c r="AJ256" s="296"/>
      <c r="AK256" s="295">
        <v>2434</v>
      </c>
      <c r="AL256" s="296"/>
      <c r="AM256" s="296"/>
      <c r="AN256" s="69"/>
      <c r="AO256" s="70">
        <v>15192</v>
      </c>
      <c r="AP256" s="296"/>
      <c r="AQ256" s="295">
        <f>1151+8836+7594+6086+1371+4513+1780+8313+11469+6092</f>
        <v>57205</v>
      </c>
      <c r="AR256" s="69"/>
      <c r="AS256" s="69"/>
      <c r="AT256" s="71"/>
      <c r="AU256" s="71"/>
    </row>
    <row r="257" spans="1:47" s="51" customFormat="1" ht="102.75" thickTop="1">
      <c r="A257" s="80">
        <v>81</v>
      </c>
      <c r="B257" s="297" t="s">
        <v>4</v>
      </c>
      <c r="C257" s="288">
        <v>11</v>
      </c>
      <c r="D257" s="171"/>
      <c r="E257" s="171"/>
      <c r="F257" s="284"/>
      <c r="G257" s="289"/>
      <c r="H257" s="13" t="s">
        <v>531</v>
      </c>
      <c r="I257" s="182">
        <v>2600</v>
      </c>
      <c r="J257" s="175" t="s">
        <v>423</v>
      </c>
      <c r="K257" s="175" t="s">
        <v>935</v>
      </c>
      <c r="L257" s="261"/>
      <c r="M257" s="261"/>
      <c r="N257" s="261"/>
      <c r="O257" s="261"/>
      <c r="P257" s="16" t="s">
        <v>535</v>
      </c>
      <c r="Q257" s="182">
        <v>5000</v>
      </c>
      <c r="R257" s="16" t="s">
        <v>932</v>
      </c>
      <c r="S257" s="290">
        <f>2785</f>
        <v>2785</v>
      </c>
      <c r="T257" s="18" t="s">
        <v>503</v>
      </c>
      <c r="U257" s="182">
        <v>6000</v>
      </c>
      <c r="V257" s="175" t="s">
        <v>938</v>
      </c>
      <c r="W257" s="182">
        <v>25471</v>
      </c>
      <c r="X257" s="13" t="s">
        <v>536</v>
      </c>
      <c r="Y257" s="182">
        <v>150000</v>
      </c>
      <c r="Z257" s="175" t="s">
        <v>374</v>
      </c>
      <c r="AA257" s="321">
        <v>148032</v>
      </c>
      <c r="AB257" s="24"/>
      <c r="AC257" s="261"/>
      <c r="AD257" s="175" t="s">
        <v>931</v>
      </c>
      <c r="AE257" s="182">
        <v>4368</v>
      </c>
      <c r="AF257" s="24" t="s">
        <v>103</v>
      </c>
      <c r="AG257" s="298">
        <v>2352</v>
      </c>
      <c r="AH257" s="175" t="s">
        <v>426</v>
      </c>
      <c r="AI257" s="290" t="s">
        <v>930</v>
      </c>
      <c r="AJ257" s="175" t="s">
        <v>62</v>
      </c>
      <c r="AK257" s="298">
        <v>1230</v>
      </c>
      <c r="AL257" s="299"/>
      <c r="AM257" s="299"/>
      <c r="AN257" s="24" t="s">
        <v>105</v>
      </c>
      <c r="AO257" s="175" t="s">
        <v>106</v>
      </c>
      <c r="AP257" s="175" t="s">
        <v>420</v>
      </c>
      <c r="AQ257" s="298">
        <v>4317</v>
      </c>
      <c r="AR257" s="149"/>
      <c r="AS257" s="149"/>
      <c r="AT257" s="26"/>
      <c r="AU257" s="26"/>
    </row>
    <row r="258" spans="1:47" s="51" customFormat="1" ht="153">
      <c r="A258" s="81"/>
      <c r="B258" s="323"/>
      <c r="C258" s="291"/>
      <c r="D258" s="108"/>
      <c r="E258" s="108"/>
      <c r="F258" s="285"/>
      <c r="G258" s="158"/>
      <c r="H258" s="13"/>
      <c r="I258" s="158"/>
      <c r="J258" s="155" t="s">
        <v>933</v>
      </c>
      <c r="K258" s="155" t="s">
        <v>934</v>
      </c>
      <c r="L258" s="158"/>
      <c r="M258" s="158"/>
      <c r="N258" s="158"/>
      <c r="O258" s="158"/>
      <c r="P258" s="153"/>
      <c r="Q258" s="158"/>
      <c r="R258" s="155" t="s">
        <v>936</v>
      </c>
      <c r="S258" s="324" t="s">
        <v>937</v>
      </c>
      <c r="T258" s="18" t="s">
        <v>598</v>
      </c>
      <c r="U258" s="157">
        <v>32000</v>
      </c>
      <c r="V258" s="158"/>
      <c r="W258" s="158"/>
      <c r="X258" s="78"/>
      <c r="Y258" s="158"/>
      <c r="Z258" s="158"/>
      <c r="AA258" s="158"/>
      <c r="AB258" s="158"/>
      <c r="AC258" s="158"/>
      <c r="AD258" s="158"/>
      <c r="AE258" s="158"/>
      <c r="AF258" s="181" t="s">
        <v>617</v>
      </c>
      <c r="AG258" s="155" t="s">
        <v>104</v>
      </c>
      <c r="AH258" s="155" t="s">
        <v>354</v>
      </c>
      <c r="AI258" s="302">
        <v>2016</v>
      </c>
      <c r="AJ258" s="155" t="s">
        <v>63</v>
      </c>
      <c r="AK258" s="302">
        <v>1204</v>
      </c>
      <c r="AL258" s="301"/>
      <c r="AM258" s="301"/>
      <c r="AN258" s="181"/>
      <c r="AO258" s="158"/>
      <c r="AP258" s="155" t="s">
        <v>794</v>
      </c>
      <c r="AQ258" s="302">
        <f>205+3187+808</f>
        <v>4200</v>
      </c>
      <c r="AR258" s="22"/>
      <c r="AS258" s="22"/>
      <c r="AT258" s="50"/>
      <c r="AU258" s="50"/>
    </row>
    <row r="259" spans="1:47" s="326" customFormat="1" ht="13.5" thickBot="1">
      <c r="A259" s="82"/>
      <c r="B259" s="138" t="s">
        <v>21</v>
      </c>
      <c r="C259" s="139"/>
      <c r="D259" s="140">
        <v>185650.9</v>
      </c>
      <c r="E259" s="140">
        <v>15660.1</v>
      </c>
      <c r="F259" s="64">
        <f>SUM(I259,M259,Q259,U259,Y259,AC259,AG259,AK259,AO259,AS259)</f>
        <v>206282</v>
      </c>
      <c r="G259" s="64">
        <v>234037</v>
      </c>
      <c r="H259" s="69"/>
      <c r="I259" s="70">
        <v>2600</v>
      </c>
      <c r="J259" s="69"/>
      <c r="K259" s="69">
        <f>3867+1352+3925+6002</f>
        <v>15146</v>
      </c>
      <c r="L259" s="69"/>
      <c r="M259" s="69"/>
      <c r="N259" s="69"/>
      <c r="O259" s="69"/>
      <c r="P259" s="69"/>
      <c r="Q259" s="70">
        <v>5000</v>
      </c>
      <c r="R259" s="69"/>
      <c r="S259" s="70">
        <f>2785+5001+8519</f>
        <v>16305</v>
      </c>
      <c r="T259" s="69"/>
      <c r="U259" s="70">
        <v>38000</v>
      </c>
      <c r="V259" s="69"/>
      <c r="W259" s="70">
        <f>W257</f>
        <v>25471</v>
      </c>
      <c r="X259" s="69"/>
      <c r="Y259" s="70">
        <v>150000</v>
      </c>
      <c r="Z259" s="69"/>
      <c r="AA259" s="69">
        <v>148032</v>
      </c>
      <c r="AB259" s="69"/>
      <c r="AC259" s="69"/>
      <c r="AD259" s="69"/>
      <c r="AE259" s="70">
        <f>AE257</f>
        <v>4368</v>
      </c>
      <c r="AF259" s="67"/>
      <c r="AG259" s="295">
        <v>4584</v>
      </c>
      <c r="AH259" s="67"/>
      <c r="AI259" s="325">
        <f>760+11009+2016+2413</f>
        <v>16198</v>
      </c>
      <c r="AJ259" s="296"/>
      <c r="AK259" s="295">
        <v>2434</v>
      </c>
      <c r="AL259" s="296"/>
      <c r="AM259" s="296"/>
      <c r="AN259" s="69"/>
      <c r="AO259" s="70">
        <v>3664</v>
      </c>
      <c r="AP259" s="296"/>
      <c r="AQ259" s="295">
        <f>AQ257+AQ258</f>
        <v>8517</v>
      </c>
      <c r="AR259" s="69"/>
      <c r="AS259" s="69"/>
      <c r="AT259" s="71"/>
      <c r="AU259" s="71"/>
    </row>
    <row r="260" spans="1:47" s="51" customFormat="1" ht="115.5" thickTop="1">
      <c r="A260" s="80">
        <v>82</v>
      </c>
      <c r="B260" s="288" t="s">
        <v>4</v>
      </c>
      <c r="C260" s="288">
        <v>28</v>
      </c>
      <c r="D260" s="171"/>
      <c r="E260" s="171"/>
      <c r="F260" s="284"/>
      <c r="G260" s="284"/>
      <c r="H260" s="16"/>
      <c r="I260" s="261"/>
      <c r="J260" s="175" t="s">
        <v>945</v>
      </c>
      <c r="K260" s="261">
        <v>1128</v>
      </c>
      <c r="L260" s="311"/>
      <c r="M260" s="261"/>
      <c r="N260" s="175" t="s">
        <v>944</v>
      </c>
      <c r="O260" s="175" t="s">
        <v>943</v>
      </c>
      <c r="P260" s="261"/>
      <c r="Q260" s="261"/>
      <c r="R260" s="261"/>
      <c r="S260" s="261"/>
      <c r="T260" s="13" t="s">
        <v>533</v>
      </c>
      <c r="U260" s="182">
        <v>12500</v>
      </c>
      <c r="V260" s="175" t="s">
        <v>946</v>
      </c>
      <c r="W260" s="182">
        <v>8381</v>
      </c>
      <c r="X260" s="175" t="s">
        <v>249</v>
      </c>
      <c r="Y260" s="261">
        <v>23000</v>
      </c>
      <c r="Z260" s="175" t="s">
        <v>400</v>
      </c>
      <c r="AA260" s="182">
        <v>23088</v>
      </c>
      <c r="AB260" s="24" t="s">
        <v>41</v>
      </c>
      <c r="AC260" s="27">
        <v>11172</v>
      </c>
      <c r="AD260" s="147"/>
      <c r="AE260" s="27"/>
      <c r="AF260" s="24" t="s">
        <v>107</v>
      </c>
      <c r="AG260" s="298">
        <v>6084</v>
      </c>
      <c r="AH260" s="231" t="s">
        <v>364</v>
      </c>
      <c r="AI260" s="290" t="s">
        <v>939</v>
      </c>
      <c r="AJ260" s="175" t="s">
        <v>53</v>
      </c>
      <c r="AK260" s="315">
        <v>2460</v>
      </c>
      <c r="AL260" s="316"/>
      <c r="AM260" s="316"/>
      <c r="AN260" s="24" t="s">
        <v>690</v>
      </c>
      <c r="AO260" s="16" t="s">
        <v>109</v>
      </c>
      <c r="AP260" s="175" t="s">
        <v>940</v>
      </c>
      <c r="AQ260" s="290" t="s">
        <v>941</v>
      </c>
      <c r="AR260" s="149"/>
      <c r="AS260" s="149"/>
      <c r="AT260" s="26"/>
      <c r="AU260" s="26"/>
    </row>
    <row r="261" spans="1:47" s="51" customFormat="1" ht="267.75">
      <c r="A261" s="81"/>
      <c r="B261" s="291"/>
      <c r="C261" s="291"/>
      <c r="D261" s="108"/>
      <c r="E261" s="108"/>
      <c r="F261" s="285"/>
      <c r="G261" s="285"/>
      <c r="H261" s="18"/>
      <c r="I261" s="22"/>
      <c r="J261" s="231" t="s">
        <v>761</v>
      </c>
      <c r="K261" s="22">
        <v>6826</v>
      </c>
      <c r="L261" s="231"/>
      <c r="M261" s="22"/>
      <c r="N261" s="22"/>
      <c r="O261" s="22"/>
      <c r="P261" s="22"/>
      <c r="Q261" s="22"/>
      <c r="R261" s="22"/>
      <c r="S261" s="22"/>
      <c r="T261" s="18" t="s">
        <v>499</v>
      </c>
      <c r="U261" s="292">
        <v>6400</v>
      </c>
      <c r="V261" s="231" t="s">
        <v>483</v>
      </c>
      <c r="W261" s="292">
        <v>5040</v>
      </c>
      <c r="X261" s="22"/>
      <c r="Y261" s="22"/>
      <c r="Z261" s="231" t="s">
        <v>926</v>
      </c>
      <c r="AA261" s="231" t="s">
        <v>942</v>
      </c>
      <c r="AB261" s="22"/>
      <c r="AC261" s="22"/>
      <c r="AD261" s="22"/>
      <c r="AE261" s="22"/>
      <c r="AF261" s="25" t="s">
        <v>614</v>
      </c>
      <c r="AG261" s="231" t="s">
        <v>108</v>
      </c>
      <c r="AH261" s="231" t="s">
        <v>691</v>
      </c>
      <c r="AI261" s="313">
        <v>4819</v>
      </c>
      <c r="AJ261" s="308"/>
      <c r="AK261" s="308"/>
      <c r="AL261" s="308"/>
      <c r="AM261" s="308"/>
      <c r="AN261" s="25" t="s">
        <v>110</v>
      </c>
      <c r="AO261" s="18" t="s">
        <v>109</v>
      </c>
      <c r="AP261" s="231"/>
      <c r="AQ261" s="307"/>
      <c r="AR261" s="22"/>
      <c r="AS261" s="22"/>
      <c r="AT261" s="50"/>
      <c r="AU261" s="50"/>
    </row>
    <row r="262" spans="1:47" s="51" customFormat="1" ht="153">
      <c r="A262" s="81"/>
      <c r="B262" s="293"/>
      <c r="C262" s="293"/>
      <c r="D262" s="109"/>
      <c r="E262" s="109"/>
      <c r="F262" s="286"/>
      <c r="G262" s="286"/>
      <c r="H262" s="134"/>
      <c r="I262" s="215"/>
      <c r="J262" s="215"/>
      <c r="K262" s="215"/>
      <c r="L262" s="327"/>
      <c r="M262" s="215"/>
      <c r="N262" s="215"/>
      <c r="O262" s="215"/>
      <c r="P262" s="215"/>
      <c r="Q262" s="215"/>
      <c r="R262" s="215"/>
      <c r="S262" s="215"/>
      <c r="T262" s="18" t="s">
        <v>598</v>
      </c>
      <c r="U262" s="294">
        <v>32000</v>
      </c>
      <c r="V262" s="328"/>
      <c r="W262" s="294"/>
      <c r="X262" s="215"/>
      <c r="Y262" s="215"/>
      <c r="Z262" s="215"/>
      <c r="AA262" s="215"/>
      <c r="AB262" s="215"/>
      <c r="AC262" s="215"/>
      <c r="AD262" s="215"/>
      <c r="AE262" s="215"/>
      <c r="AF262" s="181"/>
      <c r="AG262" s="328"/>
      <c r="AH262" s="328" t="s">
        <v>577</v>
      </c>
      <c r="AI262" s="329">
        <v>44547</v>
      </c>
      <c r="AJ262" s="327" t="s">
        <v>31</v>
      </c>
      <c r="AK262" s="330"/>
      <c r="AL262" s="330"/>
      <c r="AM262" s="330"/>
      <c r="AN262" s="181"/>
      <c r="AO262" s="134"/>
      <c r="AP262" s="328"/>
      <c r="AQ262" s="329"/>
      <c r="AR262" s="22"/>
      <c r="AS262" s="22"/>
      <c r="AT262" s="50"/>
      <c r="AU262" s="50"/>
    </row>
    <row r="263" spans="1:47" s="51" customFormat="1" ht="13.5" thickBot="1">
      <c r="A263" s="82"/>
      <c r="B263" s="169" t="s">
        <v>21</v>
      </c>
      <c r="C263" s="170"/>
      <c r="D263" s="63">
        <v>376915.8</v>
      </c>
      <c r="E263" s="63">
        <v>-73542.45</v>
      </c>
      <c r="F263" s="64">
        <f>SUM(I263,M263,Q263,U263,Y263,AC263,AG263,AK263,AO263,AS263)</f>
        <v>94032</v>
      </c>
      <c r="G263" s="64">
        <v>338599</v>
      </c>
      <c r="H263" s="69"/>
      <c r="I263" s="69"/>
      <c r="J263" s="69"/>
      <c r="K263" s="69">
        <f>1128+6826</f>
        <v>7954</v>
      </c>
      <c r="L263" s="69"/>
      <c r="M263" s="69"/>
      <c r="N263" s="69"/>
      <c r="O263" s="69">
        <f>20964+15608+3917</f>
        <v>40489</v>
      </c>
      <c r="P263" s="69"/>
      <c r="Q263" s="69"/>
      <c r="R263" s="69"/>
      <c r="S263" s="69"/>
      <c r="T263" s="69"/>
      <c r="U263" s="70">
        <v>50900</v>
      </c>
      <c r="V263" s="69"/>
      <c r="W263" s="70">
        <f>8381+5040</f>
        <v>13421</v>
      </c>
      <c r="X263" s="69"/>
      <c r="Y263" s="69"/>
      <c r="Z263" s="69"/>
      <c r="AA263" s="70">
        <f>10705+26732+23088</f>
        <v>60525</v>
      </c>
      <c r="AB263" s="69"/>
      <c r="AC263" s="70">
        <v>11172</v>
      </c>
      <c r="AD263" s="69"/>
      <c r="AE263" s="70"/>
      <c r="AF263" s="67"/>
      <c r="AG263" s="295">
        <v>11180</v>
      </c>
      <c r="AH263" s="296"/>
      <c r="AI263" s="295">
        <f>15313+5484+89110+14669+4819+44547</f>
        <v>173942</v>
      </c>
      <c r="AJ263" s="296"/>
      <c r="AK263" s="295">
        <v>2460</v>
      </c>
      <c r="AL263" s="296"/>
      <c r="AM263" s="296"/>
      <c r="AN263" s="69"/>
      <c r="AO263" s="70">
        <v>18320</v>
      </c>
      <c r="AP263" s="296"/>
      <c r="AQ263" s="295">
        <f>9636+32262+370</f>
        <v>42268</v>
      </c>
      <c r="AR263" s="69"/>
      <c r="AS263" s="69"/>
      <c r="AT263" s="71"/>
      <c r="AU263" s="71"/>
    </row>
    <row r="264" spans="1:47" s="334" customFormat="1" ht="141" thickTop="1">
      <c r="A264" s="80">
        <v>83</v>
      </c>
      <c r="B264" s="288" t="s">
        <v>4</v>
      </c>
      <c r="C264" s="288">
        <v>30</v>
      </c>
      <c r="D264" s="171"/>
      <c r="E264" s="171"/>
      <c r="F264" s="331"/>
      <c r="G264" s="331"/>
      <c r="H264" s="332"/>
      <c r="I264" s="298"/>
      <c r="J264" s="299"/>
      <c r="K264" s="299"/>
      <c r="L264" s="175" t="s">
        <v>516</v>
      </c>
      <c r="M264" s="298">
        <v>50000</v>
      </c>
      <c r="N264" s="299"/>
      <c r="O264" s="299"/>
      <c r="P264" s="16" t="s">
        <v>537</v>
      </c>
      <c r="Q264" s="299"/>
      <c r="R264" s="175" t="s">
        <v>797</v>
      </c>
      <c r="S264" s="298">
        <v>43886</v>
      </c>
      <c r="T264" s="13" t="s">
        <v>525</v>
      </c>
      <c r="U264" s="298">
        <v>15000</v>
      </c>
      <c r="V264" s="332"/>
      <c r="W264" s="298"/>
      <c r="X264" s="175" t="s">
        <v>136</v>
      </c>
      <c r="Y264" s="299"/>
      <c r="Z264" s="332"/>
      <c r="AA264" s="298"/>
      <c r="AB264" s="24" t="s">
        <v>41</v>
      </c>
      <c r="AC264" s="298">
        <v>11172</v>
      </c>
      <c r="AD264" s="147" t="s">
        <v>692</v>
      </c>
      <c r="AE264" s="148" t="s">
        <v>397</v>
      </c>
      <c r="AF264" s="24" t="s">
        <v>693</v>
      </c>
      <c r="AG264" s="175" t="s">
        <v>111</v>
      </c>
      <c r="AH264" s="175" t="s">
        <v>356</v>
      </c>
      <c r="AI264" s="332">
        <v>1976</v>
      </c>
      <c r="AJ264" s="175" t="s">
        <v>62</v>
      </c>
      <c r="AK264" s="298">
        <v>1230</v>
      </c>
      <c r="AL264" s="299"/>
      <c r="AM264" s="299"/>
      <c r="AN264" s="24" t="s">
        <v>694</v>
      </c>
      <c r="AO264" s="175" t="s">
        <v>113</v>
      </c>
      <c r="AP264" s="175" t="s">
        <v>668</v>
      </c>
      <c r="AQ264" s="290" t="s">
        <v>947</v>
      </c>
      <c r="AR264" s="316"/>
      <c r="AS264" s="316"/>
      <c r="AT264" s="333"/>
      <c r="AU264" s="333"/>
    </row>
    <row r="265" spans="1:47" s="334" customFormat="1" ht="89.25">
      <c r="A265" s="81"/>
      <c r="B265" s="291"/>
      <c r="C265" s="291"/>
      <c r="D265" s="108"/>
      <c r="E265" s="108"/>
      <c r="F265" s="335"/>
      <c r="G265" s="335"/>
      <c r="H265" s="336"/>
      <c r="I265" s="315"/>
      <c r="J265" s="316"/>
      <c r="K265" s="316"/>
      <c r="L265" s="316"/>
      <c r="M265" s="316"/>
      <c r="N265" s="316"/>
      <c r="O265" s="316"/>
      <c r="P265" s="13"/>
      <c r="Q265" s="316"/>
      <c r="R265" s="336"/>
      <c r="S265" s="315"/>
      <c r="T265" s="18" t="s">
        <v>502</v>
      </c>
      <c r="U265" s="315">
        <v>12800</v>
      </c>
      <c r="V265" s="147" t="s">
        <v>389</v>
      </c>
      <c r="W265" s="336">
        <v>7320</v>
      </c>
      <c r="X265" s="316"/>
      <c r="Y265" s="316"/>
      <c r="Z265" s="316"/>
      <c r="AA265" s="316"/>
      <c r="AB265" s="316"/>
      <c r="AC265" s="316"/>
      <c r="AD265" s="231" t="s">
        <v>948</v>
      </c>
      <c r="AE265" s="307">
        <v>8949</v>
      </c>
      <c r="AF265" s="25" t="s">
        <v>620</v>
      </c>
      <c r="AG265" s="147" t="s">
        <v>112</v>
      </c>
      <c r="AH265" s="147" t="s">
        <v>367</v>
      </c>
      <c r="AI265" s="316">
        <v>816</v>
      </c>
      <c r="AJ265" s="147" t="s">
        <v>669</v>
      </c>
      <c r="AK265" s="316">
        <v>1204</v>
      </c>
      <c r="AL265" s="316"/>
      <c r="AM265" s="316"/>
      <c r="AN265" s="25" t="s">
        <v>695</v>
      </c>
      <c r="AO265" s="147" t="s">
        <v>114</v>
      </c>
      <c r="AP265" s="231" t="s">
        <v>665</v>
      </c>
      <c r="AQ265" s="315">
        <v>15908</v>
      </c>
      <c r="AR265" s="308"/>
      <c r="AS265" s="308"/>
      <c r="AT265" s="337"/>
      <c r="AU265" s="337"/>
    </row>
    <row r="266" spans="1:47" s="334" customFormat="1" ht="153">
      <c r="A266" s="81"/>
      <c r="B266" s="293"/>
      <c r="C266" s="293"/>
      <c r="D266" s="109"/>
      <c r="E266" s="109"/>
      <c r="F266" s="338"/>
      <c r="G266" s="338"/>
      <c r="H266" s="339"/>
      <c r="I266" s="302"/>
      <c r="J266" s="301"/>
      <c r="K266" s="301"/>
      <c r="L266" s="301"/>
      <c r="M266" s="301"/>
      <c r="N266" s="301"/>
      <c r="O266" s="301"/>
      <c r="P266" s="153"/>
      <c r="Q266" s="301"/>
      <c r="R266" s="339"/>
      <c r="S266" s="302"/>
      <c r="T266" s="18" t="s">
        <v>601</v>
      </c>
      <c r="U266" s="302">
        <v>40000</v>
      </c>
      <c r="V266" s="301"/>
      <c r="W266" s="301"/>
      <c r="X266" s="301"/>
      <c r="Y266" s="301"/>
      <c r="Z266" s="301"/>
      <c r="AA266" s="301"/>
      <c r="AB266" s="301"/>
      <c r="AC266" s="301"/>
      <c r="AD266" s="301"/>
      <c r="AE266" s="301"/>
      <c r="AF266" s="301"/>
      <c r="AG266" s="301"/>
      <c r="AH266" s="301"/>
      <c r="AI266" s="301"/>
      <c r="AJ266" s="301"/>
      <c r="AK266" s="301"/>
      <c r="AL266" s="301"/>
      <c r="AM266" s="301"/>
      <c r="AN266" s="301"/>
      <c r="AO266" s="155"/>
      <c r="AP266" s="328" t="s">
        <v>558</v>
      </c>
      <c r="AQ266" s="302">
        <v>3374</v>
      </c>
      <c r="AR266" s="308"/>
      <c r="AS266" s="308"/>
      <c r="AT266" s="337"/>
      <c r="AU266" s="337"/>
    </row>
    <row r="267" spans="1:47" s="334" customFormat="1" ht="13.5" thickBot="1">
      <c r="A267" s="82"/>
      <c r="B267" s="169" t="s">
        <v>21</v>
      </c>
      <c r="C267" s="340"/>
      <c r="D267" s="63">
        <v>217866.6</v>
      </c>
      <c r="E267" s="63">
        <v>-374389.77</v>
      </c>
      <c r="F267" s="64">
        <f>SUM(I267,M267,Q267,U267,Y267,AC267,AG267,AK267,AO267,AS267)</f>
        <v>172890</v>
      </c>
      <c r="G267" s="64">
        <v>102345</v>
      </c>
      <c r="H267" s="296"/>
      <c r="I267" s="295"/>
      <c r="J267" s="296"/>
      <c r="K267" s="296"/>
      <c r="L267" s="296"/>
      <c r="M267" s="296">
        <v>50000</v>
      </c>
      <c r="N267" s="296"/>
      <c r="O267" s="296"/>
      <c r="P267" s="296"/>
      <c r="Q267" s="296"/>
      <c r="R267" s="296"/>
      <c r="S267" s="295">
        <f>S264</f>
        <v>43886</v>
      </c>
      <c r="T267" s="296"/>
      <c r="U267" s="295">
        <v>67800</v>
      </c>
      <c r="V267" s="296"/>
      <c r="W267" s="295">
        <v>7320</v>
      </c>
      <c r="X267" s="296"/>
      <c r="Y267" s="296"/>
      <c r="Z267" s="296"/>
      <c r="AA267" s="295"/>
      <c r="AB267" s="296"/>
      <c r="AC267" s="295">
        <v>11172</v>
      </c>
      <c r="AD267" s="296"/>
      <c r="AE267" s="295">
        <f>6666+3928+8949</f>
        <v>19543</v>
      </c>
      <c r="AF267" s="67"/>
      <c r="AG267" s="295">
        <v>20016</v>
      </c>
      <c r="AH267" s="296"/>
      <c r="AI267" s="296">
        <f>AI265+AI264</f>
        <v>2792</v>
      </c>
      <c r="AJ267" s="296"/>
      <c r="AK267" s="295">
        <v>2460</v>
      </c>
      <c r="AL267" s="296"/>
      <c r="AM267" s="296"/>
      <c r="AN267" s="296"/>
      <c r="AO267" s="295">
        <v>21442</v>
      </c>
      <c r="AP267" s="320" t="s">
        <v>427</v>
      </c>
      <c r="AQ267" s="295">
        <f>2403+295+1867+4957+15908+3374</f>
        <v>28804</v>
      </c>
      <c r="AR267" s="296"/>
      <c r="AS267" s="296"/>
      <c r="AT267" s="341"/>
      <c r="AU267" s="341"/>
    </row>
    <row r="268" spans="1:47" s="51" customFormat="1" ht="306.75" thickTop="1">
      <c r="A268" s="80">
        <v>84</v>
      </c>
      <c r="B268" s="297" t="s">
        <v>4</v>
      </c>
      <c r="C268" s="288">
        <v>35</v>
      </c>
      <c r="D268" s="171"/>
      <c r="E268" s="171"/>
      <c r="F268" s="284"/>
      <c r="G268" s="284"/>
      <c r="H268" s="342"/>
      <c r="I268" s="343"/>
      <c r="J268" s="342" t="s">
        <v>761</v>
      </c>
      <c r="K268" s="342">
        <f>7587+3363+36283</f>
        <v>47233</v>
      </c>
      <c r="L268" s="261"/>
      <c r="M268" s="261"/>
      <c r="N268" s="261"/>
      <c r="O268" s="261"/>
      <c r="P268" s="16"/>
      <c r="Q268" s="261"/>
      <c r="R268" s="261"/>
      <c r="S268" s="261"/>
      <c r="T268" s="13" t="s">
        <v>501</v>
      </c>
      <c r="U268" s="182">
        <v>7500</v>
      </c>
      <c r="V268" s="175" t="s">
        <v>949</v>
      </c>
      <c r="W268" s="311">
        <v>6240</v>
      </c>
      <c r="X268" s="16"/>
      <c r="Y268" s="261"/>
      <c r="Z268" s="311"/>
      <c r="AA268" s="182"/>
      <c r="AB268" s="24"/>
      <c r="AC268" s="149"/>
      <c r="AD268" s="147" t="s">
        <v>956</v>
      </c>
      <c r="AE268" s="148" t="s">
        <v>955</v>
      </c>
      <c r="AF268" s="24"/>
      <c r="AG268" s="311"/>
      <c r="AH268" s="175" t="s">
        <v>952</v>
      </c>
      <c r="AI268" s="175" t="s">
        <v>951</v>
      </c>
      <c r="AJ268" s="175" t="s">
        <v>62</v>
      </c>
      <c r="AK268" s="298">
        <v>1230</v>
      </c>
      <c r="AL268" s="299"/>
      <c r="AM268" s="299"/>
      <c r="AN268" s="344" t="s">
        <v>139</v>
      </c>
      <c r="AO268" s="345" t="s">
        <v>140</v>
      </c>
      <c r="AP268" s="175" t="s">
        <v>794</v>
      </c>
      <c r="AQ268" s="290" t="s">
        <v>953</v>
      </c>
      <c r="AR268" s="149"/>
      <c r="AS268" s="149"/>
      <c r="AT268" s="26"/>
      <c r="AU268" s="26"/>
    </row>
    <row r="269" spans="1:47" s="51" customFormat="1" ht="127.5">
      <c r="A269" s="81"/>
      <c r="B269" s="323"/>
      <c r="C269" s="291"/>
      <c r="D269" s="108"/>
      <c r="E269" s="108"/>
      <c r="F269" s="285"/>
      <c r="G269" s="185"/>
      <c r="H269" s="346"/>
      <c r="I269" s="347"/>
      <c r="J269" s="347"/>
      <c r="K269" s="347"/>
      <c r="L269" s="22"/>
      <c r="M269" s="22"/>
      <c r="N269" s="22"/>
      <c r="O269" s="22"/>
      <c r="P269" s="22"/>
      <c r="Q269" s="22"/>
      <c r="R269" s="22"/>
      <c r="S269" s="22"/>
      <c r="T269" s="18" t="s">
        <v>950</v>
      </c>
      <c r="U269" s="292">
        <v>16000</v>
      </c>
      <c r="V269" s="231"/>
      <c r="W269" s="22"/>
      <c r="X269" s="125"/>
      <c r="Y269" s="22"/>
      <c r="Z269" s="22"/>
      <c r="AA269" s="22"/>
      <c r="AB269" s="22"/>
      <c r="AC269" s="22"/>
      <c r="AD269" s="22"/>
      <c r="AE269" s="22"/>
      <c r="AF269" s="25"/>
      <c r="AG269" s="308"/>
      <c r="AH269" s="308"/>
      <c r="AI269" s="308"/>
      <c r="AJ269" s="231" t="s">
        <v>63</v>
      </c>
      <c r="AK269" s="307">
        <v>1204</v>
      </c>
      <c r="AL269" s="308"/>
      <c r="AM269" s="308"/>
      <c r="AN269" s="25" t="s">
        <v>138</v>
      </c>
      <c r="AO269" s="231" t="s">
        <v>140</v>
      </c>
      <c r="AP269" s="231" t="s">
        <v>820</v>
      </c>
      <c r="AQ269" s="313" t="s">
        <v>954</v>
      </c>
      <c r="AR269" s="22"/>
      <c r="AS269" s="22"/>
      <c r="AT269" s="50"/>
      <c r="AU269" s="50"/>
    </row>
    <row r="270" spans="1:47" s="51" customFormat="1" ht="13.5" thickBot="1">
      <c r="A270" s="82"/>
      <c r="B270" s="169" t="s">
        <v>21</v>
      </c>
      <c r="C270" s="170"/>
      <c r="D270" s="63">
        <v>207944</v>
      </c>
      <c r="E270" s="63">
        <v>-140787.29</v>
      </c>
      <c r="F270" s="64">
        <f>SUM(I270,M270,Q270,U270,Y270,AC270,AG270,AK270,AO270,AS270)</f>
        <v>40520</v>
      </c>
      <c r="G270" s="64">
        <v>173205</v>
      </c>
      <c r="H270" s="69"/>
      <c r="I270" s="69"/>
      <c r="J270" s="69"/>
      <c r="K270" s="69">
        <f>K268</f>
        <v>47233</v>
      </c>
      <c r="L270" s="69"/>
      <c r="M270" s="69"/>
      <c r="N270" s="69"/>
      <c r="O270" s="69"/>
      <c r="P270" s="69"/>
      <c r="Q270" s="69"/>
      <c r="R270" s="69"/>
      <c r="S270" s="69"/>
      <c r="T270" s="69"/>
      <c r="U270" s="70">
        <v>23500</v>
      </c>
      <c r="V270" s="69"/>
      <c r="W270" s="70">
        <v>6240</v>
      </c>
      <c r="X270" s="69"/>
      <c r="Y270" s="69"/>
      <c r="Z270" s="69"/>
      <c r="AA270" s="70"/>
      <c r="AB270" s="69"/>
      <c r="AC270" s="69"/>
      <c r="AD270" s="69"/>
      <c r="AE270" s="70">
        <f>13200+3855+7619+3960</f>
        <v>28634</v>
      </c>
      <c r="AF270" s="67"/>
      <c r="AG270" s="65"/>
      <c r="AH270" s="65"/>
      <c r="AI270" s="65">
        <f>1621+23558+20569</f>
        <v>45748</v>
      </c>
      <c r="AJ270" s="65"/>
      <c r="AK270" s="66">
        <v>2460</v>
      </c>
      <c r="AL270" s="65"/>
      <c r="AM270" s="65"/>
      <c r="AN270" s="69"/>
      <c r="AO270" s="70">
        <v>14560</v>
      </c>
      <c r="AP270" s="65"/>
      <c r="AQ270" s="66">
        <f>2941+5935+6901+4408+1092.5+8615+5936+5378+1092.5+3051</f>
        <v>45350</v>
      </c>
      <c r="AR270" s="69"/>
      <c r="AS270" s="69"/>
      <c r="AT270" s="71"/>
      <c r="AU270" s="71"/>
    </row>
    <row r="271" spans="1:47" s="51" customFormat="1" ht="166.5" thickTop="1">
      <c r="A271" s="80">
        <v>85</v>
      </c>
      <c r="B271" s="297" t="s">
        <v>4</v>
      </c>
      <c r="C271" s="288">
        <v>38</v>
      </c>
      <c r="D271" s="171"/>
      <c r="E271" s="171"/>
      <c r="F271" s="348"/>
      <c r="G271" s="284"/>
      <c r="H271" s="345" t="s">
        <v>538</v>
      </c>
      <c r="I271" s="182">
        <v>13680</v>
      </c>
      <c r="J271" s="175" t="s">
        <v>960</v>
      </c>
      <c r="K271" s="290">
        <f>8706+23033+11936+4240</f>
        <v>47915</v>
      </c>
      <c r="L271" s="261"/>
      <c r="M271" s="261"/>
      <c r="N271" s="261"/>
      <c r="O271" s="261"/>
      <c r="P271" s="16" t="s">
        <v>539</v>
      </c>
      <c r="Q271" s="182">
        <v>56000</v>
      </c>
      <c r="R271" s="175" t="s">
        <v>342</v>
      </c>
      <c r="S271" s="290">
        <f>13134+35111</f>
        <v>48245</v>
      </c>
      <c r="T271" s="13" t="s">
        <v>525</v>
      </c>
      <c r="U271" s="182">
        <v>15000</v>
      </c>
      <c r="V271" s="175" t="s">
        <v>562</v>
      </c>
      <c r="W271" s="182">
        <v>7016</v>
      </c>
      <c r="X271" s="261"/>
      <c r="Y271" s="261"/>
      <c r="Z271" s="261"/>
      <c r="AA271" s="261"/>
      <c r="AB271" s="24" t="s">
        <v>610</v>
      </c>
      <c r="AC271" s="175" t="s">
        <v>145</v>
      </c>
      <c r="AD271" s="175" t="s">
        <v>958</v>
      </c>
      <c r="AE271" s="290" t="s">
        <v>959</v>
      </c>
      <c r="AF271" s="24" t="s">
        <v>141</v>
      </c>
      <c r="AG271" s="175" t="s">
        <v>357</v>
      </c>
      <c r="AH271" s="175" t="s">
        <v>957</v>
      </c>
      <c r="AI271" s="299">
        <v>85214</v>
      </c>
      <c r="AJ271" s="175" t="s">
        <v>53</v>
      </c>
      <c r="AK271" s="298">
        <v>2460</v>
      </c>
      <c r="AL271" s="299"/>
      <c r="AM271" s="299"/>
      <c r="AN271" s="24" t="s">
        <v>143</v>
      </c>
      <c r="AO271" s="175" t="s">
        <v>144</v>
      </c>
      <c r="AP271" s="175" t="s">
        <v>579</v>
      </c>
      <c r="AQ271" s="298">
        <f>3227+1023+10983</f>
        <v>15233</v>
      </c>
      <c r="AR271" s="149"/>
      <c r="AS271" s="149"/>
      <c r="AT271" s="26"/>
      <c r="AU271" s="26"/>
    </row>
    <row r="272" spans="1:47" s="51" customFormat="1" ht="153">
      <c r="A272" s="81"/>
      <c r="B272" s="300"/>
      <c r="C272" s="293"/>
      <c r="D272" s="109"/>
      <c r="E272" s="109"/>
      <c r="F272" s="285"/>
      <c r="G272" s="107"/>
      <c r="H272" s="18" t="s">
        <v>540</v>
      </c>
      <c r="I272" s="292">
        <v>3900</v>
      </c>
      <c r="J272" s="231" t="s">
        <v>888</v>
      </c>
      <c r="K272" s="305">
        <v>36593</v>
      </c>
      <c r="L272" s="22"/>
      <c r="M272" s="22"/>
      <c r="N272" s="22"/>
      <c r="O272" s="22"/>
      <c r="P272" s="18"/>
      <c r="Q272" s="22"/>
      <c r="R272" s="22"/>
      <c r="S272" s="22"/>
      <c r="T272" s="18" t="s">
        <v>601</v>
      </c>
      <c r="U272" s="292">
        <v>40000</v>
      </c>
      <c r="V272" s="22"/>
      <c r="W272" s="22"/>
      <c r="X272" s="22"/>
      <c r="Y272" s="22"/>
      <c r="Z272" s="22"/>
      <c r="AA272" s="22"/>
      <c r="AB272" s="22"/>
      <c r="AC272" s="22"/>
      <c r="AD272" s="231" t="s">
        <v>578</v>
      </c>
      <c r="AE272" s="292">
        <v>5053</v>
      </c>
      <c r="AF272" s="25" t="s">
        <v>543</v>
      </c>
      <c r="AG272" s="231" t="s">
        <v>142</v>
      </c>
      <c r="AH272" s="308"/>
      <c r="AI272" s="308"/>
      <c r="AJ272" s="231" t="s">
        <v>45</v>
      </c>
      <c r="AK272" s="307">
        <v>2408</v>
      </c>
      <c r="AL272" s="308"/>
      <c r="AM272" s="308"/>
      <c r="AN272" s="25" t="s">
        <v>110</v>
      </c>
      <c r="AO272" s="231" t="s">
        <v>109</v>
      </c>
      <c r="AP272" s="231" t="s">
        <v>313</v>
      </c>
      <c r="AQ272" s="307">
        <v>2541</v>
      </c>
      <c r="AR272" s="22"/>
      <c r="AS272" s="22"/>
      <c r="AT272" s="50"/>
      <c r="AU272" s="50"/>
    </row>
    <row r="273" spans="1:53" s="51" customFormat="1" ht="13.5" thickBot="1">
      <c r="A273" s="82"/>
      <c r="B273" s="169" t="s">
        <v>21</v>
      </c>
      <c r="C273" s="170"/>
      <c r="D273" s="63">
        <v>291752.59999999998</v>
      </c>
      <c r="E273" s="63">
        <v>22895.63</v>
      </c>
      <c r="F273" s="64">
        <f>SUM(I273,Q273,U273,Y273,AC273,AG273,AK273,AO273,AS273)</f>
        <v>192918</v>
      </c>
      <c r="G273" s="64">
        <v>268192</v>
      </c>
      <c r="H273" s="69"/>
      <c r="I273" s="70">
        <v>17580</v>
      </c>
      <c r="J273" s="69"/>
      <c r="K273" s="70">
        <f>K272+K271</f>
        <v>84508</v>
      </c>
      <c r="L273" s="69"/>
      <c r="M273" s="69"/>
      <c r="N273" s="69"/>
      <c r="O273" s="69"/>
      <c r="P273" s="69"/>
      <c r="Q273" s="70">
        <v>56000</v>
      </c>
      <c r="R273" s="69"/>
      <c r="S273" s="70">
        <f>S271</f>
        <v>48245</v>
      </c>
      <c r="T273" s="69"/>
      <c r="U273" s="70">
        <v>55000</v>
      </c>
      <c r="V273" s="69"/>
      <c r="W273" s="70">
        <v>7016</v>
      </c>
      <c r="X273" s="69"/>
      <c r="Y273" s="69"/>
      <c r="Z273" s="69"/>
      <c r="AA273" s="69"/>
      <c r="AB273" s="69"/>
      <c r="AC273" s="70">
        <v>20156</v>
      </c>
      <c r="AD273" s="69"/>
      <c r="AE273" s="70">
        <f>9604+4733+6042+5053</f>
        <v>25432</v>
      </c>
      <c r="AF273" s="67"/>
      <c r="AG273" s="295">
        <v>22864</v>
      </c>
      <c r="AH273" s="296"/>
      <c r="AI273" s="296">
        <f>AI271</f>
        <v>85214</v>
      </c>
      <c r="AJ273" s="296"/>
      <c r="AK273" s="295">
        <v>4868</v>
      </c>
      <c r="AL273" s="296"/>
      <c r="AM273" s="296"/>
      <c r="AN273" s="69"/>
      <c r="AO273" s="70">
        <v>16450</v>
      </c>
      <c r="AP273" s="296"/>
      <c r="AQ273" s="295">
        <f>AQ272+AQ271</f>
        <v>17774</v>
      </c>
      <c r="AR273" s="69"/>
      <c r="AS273" s="69"/>
      <c r="AT273" s="71"/>
      <c r="AU273" s="71"/>
    </row>
    <row r="274" spans="1:53" s="51" customFormat="1" ht="294" thickTop="1">
      <c r="A274" s="80">
        <v>86</v>
      </c>
      <c r="B274" s="297" t="s">
        <v>4</v>
      </c>
      <c r="C274" s="288">
        <v>40</v>
      </c>
      <c r="D274" s="171"/>
      <c r="E274" s="171"/>
      <c r="F274" s="284"/>
      <c r="G274" s="284"/>
      <c r="H274" s="175" t="s">
        <v>541</v>
      </c>
      <c r="I274" s="182">
        <v>2400</v>
      </c>
      <c r="J274" s="175" t="s">
        <v>966</v>
      </c>
      <c r="K274" s="175" t="s">
        <v>967</v>
      </c>
      <c r="L274" s="261"/>
      <c r="M274" s="261"/>
      <c r="N274" s="261"/>
      <c r="O274" s="261"/>
      <c r="P274" s="16" t="s">
        <v>539</v>
      </c>
      <c r="Q274" s="182">
        <v>100000</v>
      </c>
      <c r="R274" s="175" t="s">
        <v>346</v>
      </c>
      <c r="S274" s="290">
        <f>8769+5586</f>
        <v>14355</v>
      </c>
      <c r="T274" s="13" t="s">
        <v>525</v>
      </c>
      <c r="U274" s="182">
        <v>15000</v>
      </c>
      <c r="V274" s="175" t="s">
        <v>961</v>
      </c>
      <c r="W274" s="182">
        <v>89365</v>
      </c>
      <c r="X274" s="261"/>
      <c r="Y274" s="261"/>
      <c r="Z274" s="261"/>
      <c r="AA274" s="261"/>
      <c r="AB274" s="24"/>
      <c r="AC274" s="261"/>
      <c r="AD274" s="175"/>
      <c r="AE274" s="182"/>
      <c r="AF274" s="24" t="s">
        <v>696</v>
      </c>
      <c r="AG274" s="175" t="s">
        <v>150</v>
      </c>
      <c r="AH274" s="175" t="s">
        <v>964</v>
      </c>
      <c r="AI274" s="290" t="s">
        <v>965</v>
      </c>
      <c r="AJ274" s="175"/>
      <c r="AK274" s="299"/>
      <c r="AL274" s="299"/>
      <c r="AM274" s="299"/>
      <c r="AN274" s="24" t="s">
        <v>146</v>
      </c>
      <c r="AO274" s="175" t="s">
        <v>147</v>
      </c>
      <c r="AP274" s="175" t="s">
        <v>542</v>
      </c>
      <c r="AQ274" s="290" t="s">
        <v>401</v>
      </c>
      <c r="AR274" s="76" t="s">
        <v>247</v>
      </c>
      <c r="AS274" s="27">
        <v>5200</v>
      </c>
      <c r="AT274" s="26"/>
      <c r="AU274" s="26"/>
    </row>
    <row r="275" spans="1:53" s="51" customFormat="1" ht="191.25">
      <c r="A275" s="81"/>
      <c r="B275" s="300"/>
      <c r="C275" s="293"/>
      <c r="D275" s="108"/>
      <c r="E275" s="108"/>
      <c r="F275" s="285"/>
      <c r="G275" s="107"/>
      <c r="H275" s="149"/>
      <c r="I275" s="149"/>
      <c r="J275" s="149"/>
      <c r="K275" s="149"/>
      <c r="L275" s="149"/>
      <c r="M275" s="149"/>
      <c r="N275" s="149"/>
      <c r="O275" s="149"/>
      <c r="P275" s="13"/>
      <c r="Q275" s="149"/>
      <c r="R275" s="149"/>
      <c r="S275" s="149"/>
      <c r="T275" s="18" t="s">
        <v>580</v>
      </c>
      <c r="U275" s="27">
        <v>10000</v>
      </c>
      <c r="V275" s="147" t="s">
        <v>963</v>
      </c>
      <c r="W275" s="147" t="s">
        <v>962</v>
      </c>
      <c r="X275" s="149"/>
      <c r="Y275" s="149"/>
      <c r="Z275" s="149"/>
      <c r="AA275" s="149"/>
      <c r="AB275" s="149"/>
      <c r="AC275" s="149"/>
      <c r="AD275" s="149"/>
      <c r="AE275" s="149"/>
      <c r="AF275" s="25" t="s">
        <v>543</v>
      </c>
      <c r="AG275" s="147" t="s">
        <v>149</v>
      </c>
      <c r="AH275" s="316"/>
      <c r="AI275" s="316"/>
      <c r="AJ275" s="147"/>
      <c r="AK275" s="316"/>
      <c r="AL275" s="316"/>
      <c r="AM275" s="316"/>
      <c r="AN275" s="25" t="s">
        <v>697</v>
      </c>
      <c r="AO275" s="147" t="s">
        <v>148</v>
      </c>
      <c r="AP275" s="147" t="s">
        <v>698</v>
      </c>
      <c r="AQ275" s="148" t="s">
        <v>334</v>
      </c>
      <c r="AR275" s="306"/>
      <c r="AS275" s="22"/>
      <c r="AT275" s="50"/>
      <c r="AU275" s="50"/>
    </row>
    <row r="276" spans="1:53" s="51" customFormat="1" ht="13.5" thickBot="1">
      <c r="A276" s="82"/>
      <c r="B276" s="169" t="s">
        <v>21</v>
      </c>
      <c r="C276" s="170"/>
      <c r="D276" s="161">
        <v>378901.4</v>
      </c>
      <c r="E276" s="161">
        <v>118174.46</v>
      </c>
      <c r="F276" s="64">
        <f>SUM(I276,M276,Q276,U276,Y276,AC276,AG276,AK276,AO276,AS276)</f>
        <v>187380</v>
      </c>
      <c r="G276" s="64">
        <v>324269</v>
      </c>
      <c r="H276" s="69"/>
      <c r="I276" s="70">
        <v>2400</v>
      </c>
      <c r="J276" s="69"/>
      <c r="K276" s="69">
        <f>37235+37758</f>
        <v>74993</v>
      </c>
      <c r="L276" s="69"/>
      <c r="M276" s="69"/>
      <c r="N276" s="69"/>
      <c r="O276" s="69"/>
      <c r="P276" s="69"/>
      <c r="Q276" s="70">
        <v>100000</v>
      </c>
      <c r="R276" s="69"/>
      <c r="S276" s="70">
        <v>14355</v>
      </c>
      <c r="T276" s="69"/>
      <c r="U276" s="70">
        <v>25000</v>
      </c>
      <c r="V276" s="69"/>
      <c r="W276" s="70">
        <f>89365+11834+8428</f>
        <v>109627</v>
      </c>
      <c r="X276" s="69"/>
      <c r="Y276" s="69"/>
      <c r="Z276" s="69"/>
      <c r="AA276" s="69"/>
      <c r="AB276" s="69"/>
      <c r="AC276" s="69"/>
      <c r="AD276" s="69"/>
      <c r="AE276" s="70"/>
      <c r="AF276" s="67"/>
      <c r="AG276" s="295">
        <v>19688</v>
      </c>
      <c r="AH276" s="296"/>
      <c r="AI276" s="295">
        <f>61762+22813</f>
        <v>84575</v>
      </c>
      <c r="AJ276" s="296"/>
      <c r="AK276" s="296"/>
      <c r="AL276" s="296"/>
      <c r="AM276" s="296"/>
      <c r="AN276" s="69"/>
      <c r="AO276" s="70">
        <v>35092</v>
      </c>
      <c r="AP276" s="296"/>
      <c r="AQ276" s="295">
        <f>24532+6731+5357+2087+2012</f>
        <v>40719</v>
      </c>
      <c r="AR276" s="69"/>
      <c r="AS276" s="70">
        <v>5200</v>
      </c>
      <c r="AT276" s="71"/>
      <c r="AU276" s="71"/>
    </row>
    <row r="277" spans="1:53" s="355" customFormat="1" ht="13.5" thickTop="1">
      <c r="A277" s="349"/>
      <c r="B277" s="350" t="s">
        <v>19</v>
      </c>
      <c r="C277" s="351"/>
      <c r="D277" s="352">
        <f>10999636.48</f>
        <v>10999636.48</v>
      </c>
      <c r="E277" s="352">
        <v>-1544556</v>
      </c>
      <c r="F277" s="352">
        <f>SUM(F13:F276)</f>
        <v>8936634</v>
      </c>
      <c r="G277" s="352">
        <f>G276+G273+G270+G267+G263+G259+G256+G253+G250+G247+G244+G241+G236+G232+G229+G226+G222+G216+G213+G206+G203+G201+G208+G198+G196+G194+G191+G189+G186+G182+G180+G176+G173+G170+G167+G164+G161+G158+G155+G151+G148+G146+G143+G140+G138+G134+G132+G130+G126+G122+G118+G114+G110+G107+G103+G100+G97+G94+G91+G88+G85+G82+G79+G76+G74+G71+G67+G63+G60+G56+G54+G51+G48+G45+G43+G41+G38+G35+G32+G29+G26+G23+G20+G16+G13</f>
        <v>9526493</v>
      </c>
      <c r="H277" s="353"/>
      <c r="I277" s="352">
        <f>I276+I273+I270+I267+I263+I259+I256+I253+I250+I247+I244+I241+I236+I232+I229+I226+I222+I216+I213+I206+I203+I201+I208+I198+I196+I194+I191+I189+I186+I182+I180+I176+I173+I170+I167+I164+I161+I158+I155+I151+I148+I146+I143+I140+I138+I134+I132+I130+I126+I122+I118+I114+I110+I107+I103+I100+I97+I94+I91+I88+I85+I82+I79+I76+I74+I71+I67+I63+I60+I56+I54+I51+I48+I45+I43+I41+I38+I35+I32+I29+I26+I23+I20+I16+I13</f>
        <v>684280</v>
      </c>
      <c r="J277" s="352"/>
      <c r="K277" s="352">
        <f>K276+K273+K270+K267+K263+K259+K256+K253+K250+K247+K244+K241+K236+K232+K229+K226+K222+K216+K213+K206+K203+K201+K208+K198+K196+K194+K191+K189+K186+K182+K180+K176+K173+K170+K167+K164+K161+K158+K155+K151+K148+K146+K143+K140+K138+K134+K132+K130+K126+K122+K118+K114+K110+K107+K103+K100+K97+K94+K91+K88+K85+K82+K79+K76+K74+K71+K67+K63+K60+K56+K54+K51+K48+K45+K43+K41+K38+K35+K32+K29+K26+K23+K20+K16+K13</f>
        <v>2346770</v>
      </c>
      <c r="L277" s="352"/>
      <c r="M277" s="352">
        <f>M276+M273+M270+M267+M263+M259+M256+M253+M250+M247+M244+M241+M236+M232+M229+M226+M222+M216+M213+M206+M203+M201+M208+M198+M196+M194+M191+M189+M186+M182+M180+M176+M173+M170+M167+M164+M161+M158+M155+M151+M148+M146+M143+M140+M138+M134+M132+M130+M126+M122+M118+M114+M110+M107+M103+M100+M97+M94+M91+M88+M85+M82+M79+M76+M74+M71+M67+M63+M60+M56+M54+M51+M48+M45+M43+M41+M38+M35+M32+M29+M26+M23+M20+M16+M13</f>
        <v>112500</v>
      </c>
      <c r="N277" s="352"/>
      <c r="O277" s="352">
        <f>O276+O273+O270+O267+O263+O259+O256+O253+O250+O247+O244+O241+O236+O232+O229+O226+O222+O216+O213+O206+O203+O201+O208+O198+O196+O194+O191+O189+O186+O182+O180+O176+O173+O170+O167+O164+O161+O158+O155+O151+O148+O146+O143+O140+O138+O134+O132+O130+O126+O122+O118+O114+O110+O107+O103+O100+O97+O94+O91+O88+O85+O82+O79+O76+O74+O71+O67+O63+O60+O56+O54+O51+O48+O45+O43+O41+O38+O35+O32+O29+O26+O23+O20+O16+O13</f>
        <v>74414</v>
      </c>
      <c r="P277" s="352"/>
      <c r="Q277" s="352">
        <f>Q276+Q273+Q270+Q267+Q263+Q259+Q256+Q253+Q250+Q247+Q244+Q241+Q236+Q232+Q229+Q226+Q222+Q216+Q213+Q206+Q203+Q201+Q208+Q198+Q196+Q194+Q191+Q189+Q186+Q182+Q180+Q176+Q173+Q170+Q167+Q164+Q161+Q158+Q155+Q151+Q148+Q146+Q143+Q140+Q138+Q134+Q132+Q130+Q126+Q122+Q118+Q114+Q110+Q107+Q103+Q100+Q97+Q94+Q91+Q88+Q85+Q82+Q79+Q76+Q74+Q71+Q67+Q63+Q60+Q56+Q54+Q51+Q48+Q45+Q43+Q41+Q38+Q35+Q32+Q29+Q26+Q23+Q20+Q16+Q13</f>
        <v>473580</v>
      </c>
      <c r="R277" s="352"/>
      <c r="S277" s="352">
        <f>S276+S273+S270+S267+S263+S259+S256+S253+S250+S247+S244+S241+S236+S232+S229+S226+S222+S216+S213+S206+S203+S201+S208+S198+S196+S194+S191+S189+S186+S182+S180+S176+S173+S170+S167+S164+S161+S158+S155+S151+S148+S146+S143+S140+S138+S134+S132+S130+S126+S122+S118+S114+S110+S107+S103+S100+S97+S94+S91+S88+S85+S82+S79+S76+S74+S71+S67+S63+S60+S56+S54+S51+S48+S45+S43+S41+S38+S35+S32+S29+S26+S23+S20+S16+S13</f>
        <v>664584</v>
      </c>
      <c r="T277" s="353"/>
      <c r="U277" s="352">
        <f>U276+U273+U270+U267+U263+U259+U256+U253+U250+U247+U244+U241+U236+U232+U229+U226+U222+U216+U213+U206+U203+U201+U208+U198+U196+U194+U191+U189+U186+U182+U180+U176+U173+U170+U167+U164+U161+U158+U155+U151+U148+U146+U143+U140+U138+U134+U132+U130+U126+U122+U118+U114+U110+U107+U103+U100+U97+U94+U91+U88+U85+U82+U79+U76+U74+U71+U67+U63+U60+U56+U54+U51+U48+U45+U43+U41+U38+U35+U32+U29+U26+U23+U20+U16+U13</f>
        <v>1584100</v>
      </c>
      <c r="V277" s="352"/>
      <c r="W277" s="352">
        <f>W276+W273+W270+W267+W263+W259+W256+W253+W250+W247+W244+W241+W236+W232+W229+W226+W222+W216+W213+W206+W203+W201+W208+W198+W196+W194+W191+W189+W186+W182+W180+W176+W173+W170+W167+W164+W161+W158+W155+W151+W148+W146+W143+W140+W138+W134+W132+W130+W126+W122+W118+W114+W110+W107+W103+W100+W97+W94+W91+W88+W85+W82+W79+W76+W74+W71+W67+W63+W60+W56+W54+W51+W48+W45+W43+W41+W38+W35+W32+W29+W26+W23+W20+W16+W13</f>
        <v>455826</v>
      </c>
      <c r="X277" s="353"/>
      <c r="Y277" s="352">
        <f>Y276+Y273+Y270+Y267+Y263+Y259+Y256+Y253+Y250+Y247+Y244+Y241+Y236+Y232+Y229+Y226+Y222+Y216+Y213+Y206+Y203+Y201+Y208+Y198+Y196+Y194+Y191+Y189+Y186+Y182+Y180+Y176+Y173+Y170+Y167+Y164+Y161+Y158+Y155+Y151+Y148+Y146+Y143+Y140+Y138+Y134+Y132+Y130+Y126+Y122+Y118+Y114+Y110+Y107+Y103+Y100+Y97+Y94+Y91+Y88+Y85+Y82+Y79+Y76+Y74+Y71+Y67+Y63+Y60+Y56+Y54+Y51+Y48+Y45+Y43+Y41+Y38+Y35+Y32+Y29+Y26+Y23+Y20+Y16+Y13</f>
        <v>1217000</v>
      </c>
      <c r="Z277" s="352"/>
      <c r="AA277" s="352">
        <f>AA276+AA273+AA270+AA267+AA263+AA259+AA256+AA253+AA250+AA247+AA244+AA241+AA236+AA232+AA229+AA226+AA222+AA216+AA213+AA206+AA203+AA201+AA208+AA198+AA196+AA194+AA191+AA189+AA186+AA182+AA180+AA176+AA173+AA170+AA167+AA164+AA161+AA158+AA155+AA151+AA148+AA146+AA143+AA140+AA138+AA134+AA132+AA130+AA126+AA122+AA118+AA114+AA110+AA107+AA103+AA100+AA97+AA94+AA91+AA88+AA85+AA82+AA79+AA76+AA74+AA71+AA67+AA63+AA60+AA56+AA54+AA51+AA48+AA45+AA43+AA41+AA38+AA35+AA32+AA29+AA26+AA23+AA20+AA16+AA13</f>
        <v>1072870</v>
      </c>
      <c r="AB277" s="352"/>
      <c r="AC277" s="352">
        <f>AC276+AC273+AC270+AC267+AC263+AC259+AC256+AC253+AC250+AC247+AC244+AC241+AC236+AC232+AC229+AC226+AC222+AC216+AC213+AC206+AC203+AC201+AC208+AC198+AC196+AC194+AC191+AC189+AC186+AC182+AC180+AC176+AC173+AC170+AC167+AC164+AC161+AC158+AC155+AC151+AC148+AC146+AC143+AC140+AC138+AC134+AC132+AC130+AC126+AC122+AC118+AC114+AC110+AC107+AC103+AC100+AC97+AC94+AC91+AC88+AC85+AC82+AC79+AC76+AC74+AC71+AC67+AC63+AC60+AC56+AC54+AC51+AC48+AC45+AC43+AC41+AC38+AC35+AC32+AC29+AC26+AC23+AC20+AC16+AC13</f>
        <v>976293</v>
      </c>
      <c r="AD277" s="352"/>
      <c r="AE277" s="352">
        <f>AE276+AE273+AE270+AE267+AE263+AE259+AE256+AE253+AE250+AE247+AE244+AE241+AE236+AE232+AE229+AE226+AE222+AE216+AE213+AE206+AE203+AE201+AE208+AE198+AE196+AE194+AE191+AE189+AE186+AE182+AE180+AE176+AE173+AE170+AE167+AE164+AE161+AE158+AE155+AE151+AE148+AE146+AE143+AE140+AE138+AE134+AE132+AE130+AE126+AE122+AE118+AE114+AE110+AE107+AE103+AE100+AE97+AE94+AE91+AE88+AE85+AE82+AE79+AE76+AE74+AE71+AE67+AE63+AE60+AE56+AE54+AE51+AE48+AE45+AE43+AE41+AE38+AE35+AE32+AE29+AE26+AE23+AE20+AE16+AE13</f>
        <v>913019</v>
      </c>
      <c r="AF277" s="354"/>
      <c r="AG277" s="352">
        <f>AG276+AG273+AG270+AG267+AG263+AG259+AG256+AG253+AG250+AG247+AG244+AG241+AG236+AG232+AG229+AG226+AG222+AG216+AG213+AG206+AG203+AG201+AG208+AG198+AG196+AG194+AG191+AG189+AG186+AG182+AG180+AG176+AG173+AG170+AG167+AG164+AG161+AG158+AG155+AG151+AG148+AG146+AG143+AG140+AG138+AG134+AG132+AG130+AG126+AG122+AG118+AG114+AG110+AG107+AG103+AG100+AG97+AG94+AG91+AG88+AG85+AG82+AG79+AG76+AG74+AG71+AG67+AG63+AG60+AG56+AG54+AG51+AG48+AG45+AG43+AG41+AG38+AG35+AG32+AG29+AG26+AG23+AG20+AG16+AG13</f>
        <v>3028508</v>
      </c>
      <c r="AH277" s="352"/>
      <c r="AI277" s="352">
        <f>AI276+AI273+AI270+AI267+AI263+AI259+AI256+AI253+AI250+AI247+AI244+AI241+AI236+AI232+AI229+AI226+AI222+AI216+AI213+AI206+AI203+AI201+AI208+AI198+AI196+AI194+AI191+AI189+AI186+AI182+AI180+AI176+AI173+AI170+AI167+AI164+AI161+AI158+AI155+AI151+AI148+AI146+AI143+AI140+AI138+AI134+AI132+AI130+AI126+AI122+AI118+AI114+AI110+AI107+AI103+AI100+AI97+AI94+AI91+AI88+AI85+AI82+AI79+AI76+AI74+AI71+AI67+AI63+AI60+AI56+AI54+AI51+AI48+AI45+AI43+AI41+AI38+AI35+AI32+AI29+AI26+AI23+AI20+AI16+AI13</f>
        <v>2614249</v>
      </c>
      <c r="AJ277" s="352"/>
      <c r="AK277" s="352">
        <f>AK276+AK273+AK270+AK267+AK263+AK259+AK256+AK253+AK250+AK247+AK244+AK241+AK236+AK232+AK229+AK226+AK222+AK216+AK213+AK206+AK203+AK201+AK208+AK198+AK196+AK194+AK191+AK189+AK186+AK182+AK180+AK176+AK173+AK170+AK167+AK164+AK161+AK158+AK155+AK151+AK148+AK146+AK143+AK140+AK138+AK134+AK132+AK130+AK126+AK122+AK118+AK114+AK110+AK107+AK103+AK100+AK97+AK94+AK91+AK88+AK85+AK82+AK79+AK76+AK74+AK71+AK67+AK63+AK60+AK56+AK54+AK51+AK48+AK45+AK43+AK41+AK38+AK35+AK32+AK29+AK26+AK23+AK20+AK16+AK13</f>
        <v>43890</v>
      </c>
      <c r="AL277" s="352"/>
      <c r="AM277" s="352">
        <f>AM276+AM273+AM270+AM267+AM263+AM259+AM256+AM253+AM250+AM247+AM244+AM241+AM236+AM232+AM229+AM226+AM222+AM216+AM213+AM206+AM203+AM201+AM208+AM198+AM196+AM194+AM191+AM189+AM186+AM182+AM180+AM176+AM173+AM170+AM167+AM164+AM161+AM158+AM155+AM151+AM148+AM146+AM143+AM140+AM138+AM134+AM132+AM130+AM126+AM122+AM118+AM114+AM110+AM107+AM103+AM100+AM97+AM94+AM91+AM88+AM85+AM82+AM79+AM76+AM74+AM71+AM67+AM63+AM60+AM56+AM54+AM51+AM48+AM45+AM43+AM41+AM38+AM35+AM32+AM29+AM26+AM23+AM20+AM16+AM13</f>
        <v>27055</v>
      </c>
      <c r="AN277" s="353"/>
      <c r="AO277" s="352">
        <f>AO276+AO273+AO270+AO267+AO263+AO259+AO256+AO253+AO250+AO247+AO244+AO241+AO236+AO232+AO229+AO226+AO222+AO216+AO213+AO206+AO203+AO201+AO208+AO198+AO196+AO194+AO191+AO189+AO186+AO182+AO180+AO176+AO173+AO170+AO167+AO164+AO161+AO158+AO155+AO151+AO148+AO146+AO143+AO140+AO138+AO134+AO132+AO130+AO126+AO122+AO118+AO114+AO110+AO107+AO103+AO100+AO97+AO94+AO91+AO88+AO85+AO82+AO79+AO76+AO74+AO71+AO67+AO63+AO60+AO56+AO54+AO51+AO48+AO45+AO43+AO41+AO38+AO35+AO32+AO29+AO26+AO23+AO20+AO16+AO13</f>
        <v>525307</v>
      </c>
      <c r="AP277" s="352"/>
      <c r="AQ277" s="352">
        <f>AQ276+AQ273+AQ270+AQ267+AQ263+AQ259+AQ256+AQ253+AQ250+AQ247+AQ244+AQ241+AQ236+AQ232+AQ229+AQ226+AQ222+AQ216+AQ213+AQ206+AQ203+AQ201+AQ208+AQ198+AQ196+AQ194+AQ191+AQ189+AQ186+AQ182+AQ180+AQ176+AQ173+AQ170+AQ167+AQ164+AQ161+AQ158+AQ155+AQ151+AQ148+AQ146+AQ143+AQ140+AQ138+AQ134+AQ132+AQ130+AQ126+AQ122+AQ118+AQ114+AQ110+AQ107+AQ103+AQ100+AQ97+AQ94+AQ91+AQ88+AQ85+AQ82+AQ79+AQ76+AQ74+AQ71+AQ67+AQ63+AQ60+AQ56+AQ54+AQ51+AQ48+AQ45+AQ43+AQ41+AQ38+AQ35+AQ32+AQ29+AQ26+AQ23+AQ20+AQ16+AQ13</f>
        <v>1127747</v>
      </c>
      <c r="AR277" s="353"/>
      <c r="AS277" s="352">
        <f>AS276+AS273+AS270+AS267+AS263+AS259+AS256+AS253+AS250+AS247+AS244+AS241+AS236+AS232+AS229+AS226+AS222+AS216+AS213+AS206+AS203+AS201+AS208+AS198+AS196+AS194+AS191+AS189+AS186+AS182+AS180+AS176+AS173+AS170+AS167+AS164+AS161+AS158+AS155+AS151+AS148+AS146+AS143+AS140+AS138+AS134+AS132+AS130+AS126+AS122+AS118+AS114+AS110+AS107+AS103+AS100+AS97+AS94+AS91+AS88+AS85+AS82+AS79+AS76+AS74+AS71+AS67+AS63+AS60+AS56+AS54+AS51+AS48+AS45+AS43+AS41+AS38+AS35+AS32+AS29+AS26+AS23+AS20+AS16+AS13</f>
        <v>46800</v>
      </c>
      <c r="AT277" s="352"/>
      <c r="AU277" s="352">
        <f>AU276+AU273+AU270+AU267+AU263+AU259+AU256+AU253+AU250+AU247+AU244+AU241+AU236+AU232+AU229+AU226+AU222+AU216+AU213+AU206+AU203+AU201+AU208+AU198+AU196+AU194+AU191+AU189+AU186+AU182+AU180+AU176+AU173+AU170+AU167+AU164+AU161+AU158+AU155+AU151+AU148+AU146+AU143+AU140+AU138+AU134+AU132+AU130+AU126+AU122+AU118+AU114+AU110+AU107+AU103+AU100+AU97+AU94+AU91+AU88+AU85+AU82+AU79+AU76+AU74+AU71+AU67+AU63+AU60+AU56+AU54+AU51+AU48+AU45+AU43+AU41+AU38+AU35+AU32+AU29+AU26+AU23+AU20+AU16+AU13</f>
        <v>229708</v>
      </c>
    </row>
    <row r="278" spans="1:53" s="36" customFormat="1">
      <c r="A278" s="29"/>
      <c r="B278" s="30"/>
      <c r="C278" s="31"/>
      <c r="D278" s="32"/>
      <c r="E278" s="32"/>
      <c r="F278" s="33"/>
      <c r="G278" s="33"/>
      <c r="H278" s="34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35"/>
      <c r="AG278" s="28"/>
      <c r="AH278" s="28"/>
      <c r="AI278" s="28"/>
      <c r="AJ278" s="28"/>
      <c r="AK278" s="28"/>
      <c r="AL278" s="28"/>
      <c r="AM278" s="28"/>
      <c r="AN278" s="2"/>
      <c r="AO278" s="2"/>
      <c r="AP278" s="28"/>
      <c r="AQ278" s="28"/>
      <c r="AR278" s="2"/>
      <c r="AS278" s="2"/>
      <c r="AT278" s="17"/>
      <c r="AU278" s="17"/>
    </row>
    <row r="279" spans="1:53" s="41" customFormat="1">
      <c r="A279" s="37" t="s">
        <v>287</v>
      </c>
      <c r="B279" s="97" t="s">
        <v>288</v>
      </c>
      <c r="C279" s="97"/>
      <c r="D279" s="97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  <c r="V279" s="97"/>
      <c r="W279" s="97"/>
      <c r="X279" s="97"/>
      <c r="Y279" s="97"/>
      <c r="Z279" s="97"/>
      <c r="AA279" s="97"/>
      <c r="AB279" s="97"/>
      <c r="AC279" s="97"/>
      <c r="AD279" s="38"/>
      <c r="AE279" s="38"/>
      <c r="AF279" s="39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</row>
    <row r="280" spans="1:53" s="41" customFormat="1">
      <c r="A280" s="37"/>
      <c r="B280" s="42"/>
      <c r="C280" s="42"/>
      <c r="D280" s="42"/>
      <c r="E280" s="42"/>
      <c r="F280" s="42"/>
      <c r="G280" s="42"/>
      <c r="H280" s="42"/>
      <c r="I280" s="96" t="s">
        <v>295</v>
      </c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42"/>
      <c r="V280" s="42"/>
      <c r="W280" s="42"/>
      <c r="X280" s="42"/>
      <c r="Y280" s="42"/>
      <c r="Z280" s="42"/>
      <c r="AA280" s="42"/>
      <c r="AB280" s="42"/>
      <c r="AC280" s="42"/>
      <c r="AD280" s="38"/>
      <c r="AE280" s="38"/>
      <c r="AF280" s="39"/>
      <c r="AG280" s="40"/>
      <c r="AH280" s="40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  <c r="AS280" s="40"/>
    </row>
    <row r="281" spans="1:53" s="41" customFormat="1">
      <c r="A281" s="37"/>
      <c r="B281" s="42"/>
      <c r="C281" s="42"/>
      <c r="D281" s="42"/>
      <c r="E281" s="42"/>
      <c r="F281" s="42"/>
      <c r="G281" s="42"/>
      <c r="H281" s="42"/>
      <c r="I281" s="96" t="s">
        <v>289</v>
      </c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42"/>
      <c r="V281" s="42"/>
      <c r="W281" s="42"/>
      <c r="X281" s="42"/>
      <c r="Y281" s="42"/>
      <c r="Z281" s="42"/>
      <c r="AA281" s="42"/>
      <c r="AB281" s="42"/>
      <c r="AC281" s="42"/>
      <c r="AD281" s="38"/>
      <c r="AE281" s="38"/>
      <c r="AF281" s="39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</row>
    <row r="282" spans="1:53" s="3" customFormat="1">
      <c r="A282" s="43"/>
      <c r="B282" s="83" t="s">
        <v>294</v>
      </c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44"/>
      <c r="AE282" s="44"/>
      <c r="AF282" s="45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</row>
    <row r="283" spans="1:53" s="3" customFormat="1">
      <c r="A283" s="43"/>
      <c r="B283" s="46" t="s">
        <v>290</v>
      </c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5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</row>
    <row r="284" spans="1:53" s="3" customFormat="1">
      <c r="A284" s="43"/>
      <c r="B284" s="46" t="s">
        <v>291</v>
      </c>
      <c r="C284" s="47"/>
      <c r="D284" s="47"/>
      <c r="E284" s="46" t="s">
        <v>292</v>
      </c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5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</row>
    <row r="285" spans="1:53" s="3" customFormat="1">
      <c r="A285" s="43"/>
      <c r="B285" s="46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5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</row>
    <row r="286" spans="1:53" s="3" customFormat="1">
      <c r="A286" s="43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5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</row>
    <row r="287" spans="1:53" s="1" customFormat="1">
      <c r="A287" s="356"/>
      <c r="B287" s="357" t="s">
        <v>293</v>
      </c>
      <c r="C287" s="357"/>
      <c r="D287" s="357"/>
      <c r="E287" s="357"/>
      <c r="F287" s="357"/>
      <c r="G287" s="357"/>
      <c r="H287" s="357"/>
      <c r="I287" s="357"/>
      <c r="J287" s="357"/>
      <c r="K287" s="357"/>
      <c r="L287" s="357"/>
      <c r="M287" s="357"/>
      <c r="N287" s="357"/>
      <c r="O287" s="357"/>
      <c r="P287" s="357"/>
      <c r="Q287" s="357"/>
      <c r="R287" s="357"/>
      <c r="S287" s="357"/>
      <c r="T287" s="357"/>
      <c r="U287" s="357"/>
      <c r="V287" s="49"/>
      <c r="W287" s="49"/>
      <c r="X287" s="40"/>
      <c r="Y287" s="40"/>
      <c r="Z287" s="40"/>
      <c r="AA287" s="40"/>
      <c r="AB287" s="40"/>
      <c r="AC287" s="40"/>
      <c r="AD287" s="40"/>
      <c r="AE287" s="40"/>
      <c r="AF287" s="39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  <c r="AQ287" s="40"/>
      <c r="AR287" s="40"/>
      <c r="AS287" s="40"/>
      <c r="AT287" s="41"/>
      <c r="AU287" s="41"/>
      <c r="AV287" s="41"/>
      <c r="AW287" s="41"/>
      <c r="AX287" s="41"/>
      <c r="AY287" s="41"/>
      <c r="AZ287" s="41"/>
      <c r="BA287" s="41"/>
    </row>
  </sheetData>
  <autoFilter ref="D10:AV284"/>
  <mergeCells count="542">
    <mergeCell ref="A2:W2"/>
    <mergeCell ref="A3:W3"/>
    <mergeCell ref="B260:B262"/>
    <mergeCell ref="C260:C262"/>
    <mergeCell ref="D260:D262"/>
    <mergeCell ref="E260:E262"/>
    <mergeCell ref="G260:G262"/>
    <mergeCell ref="F260:F262"/>
    <mergeCell ref="B264:B266"/>
    <mergeCell ref="C264:C266"/>
    <mergeCell ref="D264:D266"/>
    <mergeCell ref="E264:E266"/>
    <mergeCell ref="F264:F266"/>
    <mergeCell ref="G264:G266"/>
    <mergeCell ref="B233:B235"/>
    <mergeCell ref="C233:C235"/>
    <mergeCell ref="D233:D235"/>
    <mergeCell ref="F233:F235"/>
    <mergeCell ref="B237:B240"/>
    <mergeCell ref="C237:C240"/>
    <mergeCell ref="D237:D240"/>
    <mergeCell ref="E237:E240"/>
    <mergeCell ref="F237:F240"/>
    <mergeCell ref="C220:C221"/>
    <mergeCell ref="E187:E188"/>
    <mergeCell ref="F187:F188"/>
    <mergeCell ref="G187:G188"/>
    <mergeCell ref="D220:D221"/>
    <mergeCell ref="E220:E221"/>
    <mergeCell ref="F220:F221"/>
    <mergeCell ref="G220:G221"/>
    <mergeCell ref="B223:B225"/>
    <mergeCell ref="C223:C225"/>
    <mergeCell ref="D223:D225"/>
    <mergeCell ref="E223:E225"/>
    <mergeCell ref="B220:B221"/>
    <mergeCell ref="F223:F224"/>
    <mergeCell ref="D217:D218"/>
    <mergeCell ref="E217:E218"/>
    <mergeCell ref="G174:G175"/>
    <mergeCell ref="B177:B179"/>
    <mergeCell ref="C177:C179"/>
    <mergeCell ref="D177:D179"/>
    <mergeCell ref="E177:E179"/>
    <mergeCell ref="F177:F179"/>
    <mergeCell ref="G177:G179"/>
    <mergeCell ref="B183:B185"/>
    <mergeCell ref="C183:C185"/>
    <mergeCell ref="D183:D185"/>
    <mergeCell ref="E183:E185"/>
    <mergeCell ref="F183:F185"/>
    <mergeCell ref="G183:G185"/>
    <mergeCell ref="D181:F181"/>
    <mergeCell ref="B162:B163"/>
    <mergeCell ref="C162:C163"/>
    <mergeCell ref="D162:D163"/>
    <mergeCell ref="E162:E163"/>
    <mergeCell ref="F162:F163"/>
    <mergeCell ref="G162:G163"/>
    <mergeCell ref="G165:G166"/>
    <mergeCell ref="F165:F166"/>
    <mergeCell ref="E165:E166"/>
    <mergeCell ref="D165:D166"/>
    <mergeCell ref="C165:C166"/>
    <mergeCell ref="B165:B166"/>
    <mergeCell ref="C156:C157"/>
    <mergeCell ref="D156:D157"/>
    <mergeCell ref="E156:E157"/>
    <mergeCell ref="F156:F157"/>
    <mergeCell ref="G156:G157"/>
    <mergeCell ref="B159:B160"/>
    <mergeCell ref="C159:C160"/>
    <mergeCell ref="D159:D160"/>
    <mergeCell ref="E159:E160"/>
    <mergeCell ref="F159:F160"/>
    <mergeCell ref="G159:G160"/>
    <mergeCell ref="B135:B137"/>
    <mergeCell ref="D135:D137"/>
    <mergeCell ref="C135:C137"/>
    <mergeCell ref="E135:E137"/>
    <mergeCell ref="F135:F137"/>
    <mergeCell ref="G135:G137"/>
    <mergeCell ref="D133:F133"/>
    <mergeCell ref="D152:D154"/>
    <mergeCell ref="E152:E154"/>
    <mergeCell ref="F152:F154"/>
    <mergeCell ref="G152:G154"/>
    <mergeCell ref="B141:B142"/>
    <mergeCell ref="C141:C142"/>
    <mergeCell ref="D141:D142"/>
    <mergeCell ref="E141:E142"/>
    <mergeCell ref="F141:F142"/>
    <mergeCell ref="G141:G142"/>
    <mergeCell ref="B144:B145"/>
    <mergeCell ref="C144:C145"/>
    <mergeCell ref="D144:D145"/>
    <mergeCell ref="E144:E145"/>
    <mergeCell ref="F144:F145"/>
    <mergeCell ref="G144:G145"/>
    <mergeCell ref="B123:B125"/>
    <mergeCell ref="C123:C125"/>
    <mergeCell ref="D123:D125"/>
    <mergeCell ref="E123:E125"/>
    <mergeCell ref="F123:F125"/>
    <mergeCell ref="G123:G125"/>
    <mergeCell ref="D127:D129"/>
    <mergeCell ref="E127:E129"/>
    <mergeCell ref="F127:F129"/>
    <mergeCell ref="G127:G129"/>
    <mergeCell ref="B127:B129"/>
    <mergeCell ref="B115:B117"/>
    <mergeCell ref="C115:C117"/>
    <mergeCell ref="D115:D117"/>
    <mergeCell ref="E115:E117"/>
    <mergeCell ref="F115:F117"/>
    <mergeCell ref="G115:G117"/>
    <mergeCell ref="D119:D121"/>
    <mergeCell ref="E119:E121"/>
    <mergeCell ref="F119:F121"/>
    <mergeCell ref="G119:G121"/>
    <mergeCell ref="B108:B109"/>
    <mergeCell ref="C108:C109"/>
    <mergeCell ref="D108:D109"/>
    <mergeCell ref="E108:E109"/>
    <mergeCell ref="F108:F109"/>
    <mergeCell ref="G108:G109"/>
    <mergeCell ref="G111:G113"/>
    <mergeCell ref="F111:F113"/>
    <mergeCell ref="E111:E113"/>
    <mergeCell ref="D111:D113"/>
    <mergeCell ref="C111:C113"/>
    <mergeCell ref="B111:B113"/>
    <mergeCell ref="G101:G102"/>
    <mergeCell ref="B104:B106"/>
    <mergeCell ref="C104:C106"/>
    <mergeCell ref="D104:D106"/>
    <mergeCell ref="E104:E106"/>
    <mergeCell ref="F104:F106"/>
    <mergeCell ref="G104:G106"/>
    <mergeCell ref="D86:D87"/>
    <mergeCell ref="F92:F93"/>
    <mergeCell ref="F101:F102"/>
    <mergeCell ref="D101:D102"/>
    <mergeCell ref="E101:E102"/>
    <mergeCell ref="B95:B96"/>
    <mergeCell ref="C95:C96"/>
    <mergeCell ref="E89:E90"/>
    <mergeCell ref="F89:F90"/>
    <mergeCell ref="C17:C19"/>
    <mergeCell ref="C14:C15"/>
    <mergeCell ref="C57:C59"/>
    <mergeCell ref="E49:E50"/>
    <mergeCell ref="F49:F50"/>
    <mergeCell ref="D46:D47"/>
    <mergeCell ref="E46:E47"/>
    <mergeCell ref="F46:F47"/>
    <mergeCell ref="D49:D50"/>
    <mergeCell ref="C39:C40"/>
    <mergeCell ref="D39:D40"/>
    <mergeCell ref="E39:E40"/>
    <mergeCell ref="F39:F40"/>
    <mergeCell ref="F52:F53"/>
    <mergeCell ref="F57:F59"/>
    <mergeCell ref="E57:E59"/>
    <mergeCell ref="D57:D59"/>
    <mergeCell ref="E36:E37"/>
    <mergeCell ref="F36:F37"/>
    <mergeCell ref="G36:G37"/>
    <mergeCell ref="G33:G34"/>
    <mergeCell ref="G14:G15"/>
    <mergeCell ref="D27:D28"/>
    <mergeCell ref="E27:E28"/>
    <mergeCell ref="F27:F28"/>
    <mergeCell ref="D33:D34"/>
    <mergeCell ref="E33:E34"/>
    <mergeCell ref="F33:F34"/>
    <mergeCell ref="D30:D31"/>
    <mergeCell ref="E30:E31"/>
    <mergeCell ref="F30:F31"/>
    <mergeCell ref="D11:D12"/>
    <mergeCell ref="E11:E12"/>
    <mergeCell ref="F11:F12"/>
    <mergeCell ref="E21:E22"/>
    <mergeCell ref="F21:F22"/>
    <mergeCell ref="G24:G25"/>
    <mergeCell ref="F24:F25"/>
    <mergeCell ref="E24:E25"/>
    <mergeCell ref="D24:D25"/>
    <mergeCell ref="G11:G12"/>
    <mergeCell ref="F14:F15"/>
    <mergeCell ref="E14:E15"/>
    <mergeCell ref="D17:D19"/>
    <mergeCell ref="E17:E19"/>
    <mergeCell ref="F17:F19"/>
    <mergeCell ref="D14:D15"/>
    <mergeCell ref="AR9:AS9"/>
    <mergeCell ref="AT9:AU9"/>
    <mergeCell ref="G86:G87"/>
    <mergeCell ref="G89:G90"/>
    <mergeCell ref="G92:G93"/>
    <mergeCell ref="G98:G99"/>
    <mergeCell ref="G64:G66"/>
    <mergeCell ref="G72:G73"/>
    <mergeCell ref="G77:G78"/>
    <mergeCell ref="G95:G96"/>
    <mergeCell ref="G68:G70"/>
    <mergeCell ref="G83:G84"/>
    <mergeCell ref="G17:G19"/>
    <mergeCell ref="G57:G59"/>
    <mergeCell ref="G46:G47"/>
    <mergeCell ref="G49:G50"/>
    <mergeCell ref="G61:G62"/>
    <mergeCell ref="AP9:AQ9"/>
    <mergeCell ref="J9:K9"/>
    <mergeCell ref="N9:O9"/>
    <mergeCell ref="R9:S9"/>
    <mergeCell ref="V9:W9"/>
    <mergeCell ref="G27:G28"/>
    <mergeCell ref="G39:G40"/>
    <mergeCell ref="I280:T280"/>
    <mergeCell ref="I281:T281"/>
    <mergeCell ref="D64:D66"/>
    <mergeCell ref="E64:E66"/>
    <mergeCell ref="F64:F66"/>
    <mergeCell ref="D61:D62"/>
    <mergeCell ref="E61:E62"/>
    <mergeCell ref="F61:F62"/>
    <mergeCell ref="D72:D73"/>
    <mergeCell ref="E72:E73"/>
    <mergeCell ref="F72:F73"/>
    <mergeCell ref="D89:D90"/>
    <mergeCell ref="G271:G272"/>
    <mergeCell ref="G274:G275"/>
    <mergeCell ref="G268:G269"/>
    <mergeCell ref="G149:G150"/>
    <mergeCell ref="G204:G205"/>
    <mergeCell ref="D149:D150"/>
    <mergeCell ref="E149:E150"/>
    <mergeCell ref="F149:F150"/>
    <mergeCell ref="D192:D193"/>
    <mergeCell ref="D257:D258"/>
    <mergeCell ref="B279:AC279"/>
    <mergeCell ref="F98:F99"/>
    <mergeCell ref="D21:D22"/>
    <mergeCell ref="B24:B25"/>
    <mergeCell ref="C27:C28"/>
    <mergeCell ref="C24:C25"/>
    <mergeCell ref="A27:A29"/>
    <mergeCell ref="C21:C22"/>
    <mergeCell ref="A98:A100"/>
    <mergeCell ref="B30:B31"/>
    <mergeCell ref="C30:C31"/>
    <mergeCell ref="B80:B81"/>
    <mergeCell ref="C64:C66"/>
    <mergeCell ref="C92:C93"/>
    <mergeCell ref="C98:C99"/>
    <mergeCell ref="B92:B93"/>
    <mergeCell ref="C89:C90"/>
    <mergeCell ref="C61:C62"/>
    <mergeCell ref="C80:C81"/>
    <mergeCell ref="C77:C78"/>
    <mergeCell ref="C72:C73"/>
    <mergeCell ref="C83:C84"/>
    <mergeCell ref="B83:B84"/>
    <mergeCell ref="D36:D37"/>
    <mergeCell ref="C36:C37"/>
    <mergeCell ref="B14:B15"/>
    <mergeCell ref="B33:B34"/>
    <mergeCell ref="B46:B47"/>
    <mergeCell ref="B39:B40"/>
    <mergeCell ref="B36:B37"/>
    <mergeCell ref="B57:B59"/>
    <mergeCell ref="B72:B73"/>
    <mergeCell ref="B77:B78"/>
    <mergeCell ref="B49:B50"/>
    <mergeCell ref="B52:B53"/>
    <mergeCell ref="B64:B66"/>
    <mergeCell ref="B17:B19"/>
    <mergeCell ref="B21:B22"/>
    <mergeCell ref="A11:A13"/>
    <mergeCell ref="A14:A16"/>
    <mergeCell ref="G30:G31"/>
    <mergeCell ref="A21:A23"/>
    <mergeCell ref="A24:A26"/>
    <mergeCell ref="A83:A85"/>
    <mergeCell ref="E257:E258"/>
    <mergeCell ref="F257:F258"/>
    <mergeCell ref="D248:D249"/>
    <mergeCell ref="E248:E249"/>
    <mergeCell ref="F248:F249"/>
    <mergeCell ref="F251:F252"/>
    <mergeCell ref="A30:A32"/>
    <mergeCell ref="A181:A182"/>
    <mergeCell ref="A44:A45"/>
    <mergeCell ref="A17:A20"/>
    <mergeCell ref="B61:B62"/>
    <mergeCell ref="A33:A35"/>
    <mergeCell ref="B11:B12"/>
    <mergeCell ref="C11:C12"/>
    <mergeCell ref="C33:C34"/>
    <mergeCell ref="C49:C50"/>
    <mergeCell ref="C46:C47"/>
    <mergeCell ref="B27:B28"/>
    <mergeCell ref="AF9:AG9"/>
    <mergeCell ref="B9:C10"/>
    <mergeCell ref="T9:U9"/>
    <mergeCell ref="P9:Q9"/>
    <mergeCell ref="X9:Y9"/>
    <mergeCell ref="AF4:AO4"/>
    <mergeCell ref="AF5:AO5"/>
    <mergeCell ref="AF6:AO6"/>
    <mergeCell ref="AB9:AC9"/>
    <mergeCell ref="AJ9:AK9"/>
    <mergeCell ref="AL9:AM9"/>
    <mergeCell ref="A7:D7"/>
    <mergeCell ref="A9:A10"/>
    <mergeCell ref="H9:I9"/>
    <mergeCell ref="AD9:AE9"/>
    <mergeCell ref="AH9:AI9"/>
    <mergeCell ref="L9:M9"/>
    <mergeCell ref="A4:C4"/>
    <mergeCell ref="A5:C5"/>
    <mergeCell ref="Z9:AA9"/>
    <mergeCell ref="AN9:AO9"/>
    <mergeCell ref="B287:U287"/>
    <mergeCell ref="C257:C258"/>
    <mergeCell ref="B257:B258"/>
    <mergeCell ref="B282:AC282"/>
    <mergeCell ref="B274:B275"/>
    <mergeCell ref="C274:C275"/>
    <mergeCell ref="B248:B249"/>
    <mergeCell ref="C248:C249"/>
    <mergeCell ref="B251:B252"/>
    <mergeCell ref="B254:B255"/>
    <mergeCell ref="C254:C255"/>
    <mergeCell ref="F274:F275"/>
    <mergeCell ref="F271:F272"/>
    <mergeCell ref="F268:F269"/>
    <mergeCell ref="D274:D275"/>
    <mergeCell ref="E274:E275"/>
    <mergeCell ref="D271:D272"/>
    <mergeCell ref="B271:B272"/>
    <mergeCell ref="C271:C272"/>
    <mergeCell ref="E271:E272"/>
    <mergeCell ref="D268:D269"/>
    <mergeCell ref="E268:E269"/>
    <mergeCell ref="D254:D255"/>
    <mergeCell ref="B268:B269"/>
    <mergeCell ref="A274:A276"/>
    <mergeCell ref="A257:A259"/>
    <mergeCell ref="A268:A270"/>
    <mergeCell ref="A254:A256"/>
    <mergeCell ref="A217:A219"/>
    <mergeCell ref="A233:A236"/>
    <mergeCell ref="A230:A232"/>
    <mergeCell ref="A248:A250"/>
    <mergeCell ref="A242:A244"/>
    <mergeCell ref="A245:A247"/>
    <mergeCell ref="A251:A253"/>
    <mergeCell ref="A220:A222"/>
    <mergeCell ref="A271:A273"/>
    <mergeCell ref="A227:A229"/>
    <mergeCell ref="A264:A267"/>
    <mergeCell ref="A260:A263"/>
    <mergeCell ref="A223:A226"/>
    <mergeCell ref="A237:A241"/>
    <mergeCell ref="A141:A143"/>
    <mergeCell ref="A111:A114"/>
    <mergeCell ref="A36:A38"/>
    <mergeCell ref="A77:A79"/>
    <mergeCell ref="A57:A60"/>
    <mergeCell ref="A64:A67"/>
    <mergeCell ref="A61:A63"/>
    <mergeCell ref="A68:A71"/>
    <mergeCell ref="A80:A82"/>
    <mergeCell ref="A42:A43"/>
    <mergeCell ref="A39:A41"/>
    <mergeCell ref="A131:A132"/>
    <mergeCell ref="A119:A122"/>
    <mergeCell ref="A101:A103"/>
    <mergeCell ref="A52:A54"/>
    <mergeCell ref="A46:A48"/>
    <mergeCell ref="A75:A76"/>
    <mergeCell ref="A72:A74"/>
    <mergeCell ref="A55:A56"/>
    <mergeCell ref="A49:A51"/>
    <mergeCell ref="A209:A213"/>
    <mergeCell ref="A171:A173"/>
    <mergeCell ref="B204:B205"/>
    <mergeCell ref="C204:C205"/>
    <mergeCell ref="C119:C121"/>
    <mergeCell ref="C127:C129"/>
    <mergeCell ref="B152:B154"/>
    <mergeCell ref="C152:C154"/>
    <mergeCell ref="B156:B157"/>
    <mergeCell ref="A177:A180"/>
    <mergeCell ref="A197:A198"/>
    <mergeCell ref="A192:A194"/>
    <mergeCell ref="A207:A208"/>
    <mergeCell ref="A190:A191"/>
    <mergeCell ref="A187:A189"/>
    <mergeCell ref="A202:A203"/>
    <mergeCell ref="A183:A186"/>
    <mergeCell ref="A199:A201"/>
    <mergeCell ref="A174:A176"/>
    <mergeCell ref="A156:A158"/>
    <mergeCell ref="A149:A151"/>
    <mergeCell ref="A135:A138"/>
    <mergeCell ref="C149:C150"/>
    <mergeCell ref="A204:A206"/>
    <mergeCell ref="A195:A196"/>
    <mergeCell ref="A139:A140"/>
    <mergeCell ref="C86:C87"/>
    <mergeCell ref="B149:B150"/>
    <mergeCell ref="B171:B172"/>
    <mergeCell ref="A127:A130"/>
    <mergeCell ref="A144:A146"/>
    <mergeCell ref="A152:A155"/>
    <mergeCell ref="A162:A164"/>
    <mergeCell ref="A133:A134"/>
    <mergeCell ref="A123:A126"/>
    <mergeCell ref="A115:A118"/>
    <mergeCell ref="A165:A167"/>
    <mergeCell ref="A108:A110"/>
    <mergeCell ref="A89:A91"/>
    <mergeCell ref="A86:A88"/>
    <mergeCell ref="A104:A107"/>
    <mergeCell ref="A92:A94"/>
    <mergeCell ref="A95:A97"/>
    <mergeCell ref="B119:B121"/>
    <mergeCell ref="A147:A148"/>
    <mergeCell ref="A159:A161"/>
    <mergeCell ref="A168:A170"/>
    <mergeCell ref="B192:B193"/>
    <mergeCell ref="F83:F84"/>
    <mergeCell ref="E83:E84"/>
    <mergeCell ref="D83:D84"/>
    <mergeCell ref="F68:F70"/>
    <mergeCell ref="E68:E70"/>
    <mergeCell ref="D68:D70"/>
    <mergeCell ref="F80:F81"/>
    <mergeCell ref="D77:F78"/>
    <mergeCell ref="A214:A216"/>
    <mergeCell ref="C68:C70"/>
    <mergeCell ref="B68:B70"/>
    <mergeCell ref="E80:E81"/>
    <mergeCell ref="D80:D81"/>
    <mergeCell ref="B101:B102"/>
    <mergeCell ref="C101:C102"/>
    <mergeCell ref="D92:D93"/>
    <mergeCell ref="E92:E93"/>
    <mergeCell ref="D95:D96"/>
    <mergeCell ref="E95:E96"/>
    <mergeCell ref="B86:B87"/>
    <mergeCell ref="B98:B99"/>
    <mergeCell ref="B89:B90"/>
    <mergeCell ref="E86:E87"/>
    <mergeCell ref="F86:F87"/>
    <mergeCell ref="C268:C269"/>
    <mergeCell ref="C251:C252"/>
    <mergeCell ref="B245:B246"/>
    <mergeCell ref="C245:C246"/>
    <mergeCell ref="B242:B243"/>
    <mergeCell ref="C171:C172"/>
    <mergeCell ref="F230:F231"/>
    <mergeCell ref="C230:C231"/>
    <mergeCell ref="D230:D231"/>
    <mergeCell ref="F214:F215"/>
    <mergeCell ref="E214:E215"/>
    <mergeCell ref="D214:D215"/>
    <mergeCell ref="C214:C215"/>
    <mergeCell ref="B214:B215"/>
    <mergeCell ref="E254:E255"/>
    <mergeCell ref="F254:F255"/>
    <mergeCell ref="F242:F243"/>
    <mergeCell ref="D245:D246"/>
    <mergeCell ref="E245:E246"/>
    <mergeCell ref="C217:C218"/>
    <mergeCell ref="F204:F205"/>
    <mergeCell ref="D171:D172"/>
    <mergeCell ref="E171:E172"/>
    <mergeCell ref="F171:F172"/>
    <mergeCell ref="B230:B231"/>
    <mergeCell ref="E230:E231"/>
    <mergeCell ref="C242:C243"/>
    <mergeCell ref="B168:B169"/>
    <mergeCell ref="C168:C169"/>
    <mergeCell ref="C192:C193"/>
    <mergeCell ref="B227:B228"/>
    <mergeCell ref="C227:C228"/>
    <mergeCell ref="F227:F228"/>
    <mergeCell ref="B217:B218"/>
    <mergeCell ref="D168:D169"/>
    <mergeCell ref="E168:E169"/>
    <mergeCell ref="F168:F169"/>
    <mergeCell ref="E192:E193"/>
    <mergeCell ref="F192:F193"/>
    <mergeCell ref="B174:B175"/>
    <mergeCell ref="C174:C175"/>
    <mergeCell ref="D174:D175"/>
    <mergeCell ref="E174:E175"/>
    <mergeCell ref="F174:F175"/>
    <mergeCell ref="B187:B188"/>
    <mergeCell ref="C187:C188"/>
    <mergeCell ref="D187:D188"/>
    <mergeCell ref="E242:E243"/>
    <mergeCell ref="E227:E228"/>
    <mergeCell ref="B199:B200"/>
    <mergeCell ref="C199:C200"/>
    <mergeCell ref="D199:D200"/>
    <mergeCell ref="E199:E200"/>
    <mergeCell ref="F199:F200"/>
    <mergeCell ref="B209:B212"/>
    <mergeCell ref="C209:C212"/>
    <mergeCell ref="D209:D212"/>
    <mergeCell ref="E209:E212"/>
    <mergeCell ref="D204:D205"/>
    <mergeCell ref="E204:E205"/>
    <mergeCell ref="AH98:AH99"/>
    <mergeCell ref="AI98:AI99"/>
    <mergeCell ref="F245:F246"/>
    <mergeCell ref="D251:D252"/>
    <mergeCell ref="E251:E252"/>
    <mergeCell ref="D242:D243"/>
    <mergeCell ref="E52:E53"/>
    <mergeCell ref="D52:D53"/>
    <mergeCell ref="C52:C53"/>
    <mergeCell ref="G217:G218"/>
    <mergeCell ref="G214:G215"/>
    <mergeCell ref="G199:G200"/>
    <mergeCell ref="F209:F212"/>
    <mergeCell ref="G209:G212"/>
    <mergeCell ref="G168:G169"/>
    <mergeCell ref="G171:G172"/>
    <mergeCell ref="G192:G193"/>
    <mergeCell ref="F217:F218"/>
    <mergeCell ref="D227:D228"/>
    <mergeCell ref="G80:G81"/>
    <mergeCell ref="G52:G53"/>
    <mergeCell ref="F95:F96"/>
    <mergeCell ref="E98:E99"/>
    <mergeCell ref="D98:D99"/>
  </mergeCells>
  <phoneticPr fontId="6" type="noConversion"/>
  <pageMargins left="0.19685039370078741" right="0" top="0" bottom="0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J11"/>
  <sheetViews>
    <sheetView showGridLines="0" zoomScale="60" zoomScaleNormal="60" workbookViewId="0">
      <selection activeCell="P8" sqref="P8"/>
    </sheetView>
  </sheetViews>
  <sheetFormatPr defaultRowHeight="12.75"/>
  <cols>
    <col min="1" max="1" width="11.28515625" style="3" customWidth="1"/>
    <col min="2" max="2" width="9.85546875" style="3" customWidth="1"/>
    <col min="3" max="3" width="8" style="3" customWidth="1"/>
    <col min="4" max="4" width="12" style="3" customWidth="1"/>
    <col min="5" max="5" width="7.85546875" style="4" customWidth="1"/>
    <col min="6" max="6" width="6.7109375" style="4" customWidth="1"/>
    <col min="7" max="7" width="8.140625" style="4" customWidth="1"/>
    <col min="8" max="8" width="7.42578125" style="4" customWidth="1"/>
    <col min="9" max="9" width="7" style="4" customWidth="1"/>
    <col min="10" max="10" width="5.28515625" style="4" customWidth="1"/>
    <col min="11" max="11" width="9" style="4" customWidth="1"/>
    <col min="12" max="12" width="6.5703125" style="4" customWidth="1"/>
    <col min="13" max="13" width="7.140625" style="4" customWidth="1"/>
    <col min="14" max="14" width="7" style="4" customWidth="1"/>
    <col min="15" max="15" width="10.28515625" style="4" customWidth="1"/>
    <col min="16" max="16" width="7" style="4" customWidth="1"/>
    <col min="17" max="17" width="10.28515625" style="4" customWidth="1"/>
    <col min="18" max="18" width="7.5703125" style="4" customWidth="1"/>
    <col min="19" max="19" width="4.140625" style="4" customWidth="1"/>
    <col min="20" max="20" width="4.28515625" style="4" customWidth="1"/>
    <col min="21" max="21" width="6.5703125" style="4" customWidth="1"/>
    <col min="22" max="22" width="3.85546875" style="4" customWidth="1"/>
    <col min="23" max="23" width="9.140625" style="4" customWidth="1"/>
    <col min="24" max="24" width="7.140625" style="4" customWidth="1"/>
    <col min="25" max="25" width="9.7109375" style="45" customWidth="1"/>
    <col min="26" max="26" width="7.7109375" style="4" customWidth="1"/>
    <col min="27" max="27" width="10.85546875" style="4" customWidth="1"/>
    <col min="28" max="28" width="7.42578125" style="4" customWidth="1"/>
    <col min="29" max="29" width="6" style="4" customWidth="1"/>
    <col min="30" max="30" width="4.5703125" style="4" customWidth="1"/>
    <col min="31" max="31" width="10.140625" style="4" customWidth="1"/>
    <col min="32" max="32" width="7.140625" style="4" customWidth="1"/>
    <col min="33" max="33" width="7.85546875" style="4" customWidth="1"/>
    <col min="34" max="34" width="6.28515625" style="4" customWidth="1"/>
    <col min="35" max="35" width="4.28515625" style="3" customWidth="1"/>
    <col min="36" max="36" width="4.5703125" style="3" customWidth="1"/>
    <col min="37" max="16384" width="9.140625" style="3"/>
  </cols>
  <sheetData>
    <row r="2" spans="1:36" ht="18">
      <c r="A2" s="101" t="s">
        <v>18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6" ht="18">
      <c r="A3" s="101" t="s">
        <v>984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</row>
    <row r="4" spans="1:36">
      <c r="A4" s="10"/>
      <c r="B4" s="10"/>
      <c r="C4" s="10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2"/>
      <c r="R4" s="5"/>
      <c r="S4" s="5"/>
      <c r="T4" s="5"/>
      <c r="U4" s="5"/>
      <c r="V4" s="5"/>
      <c r="W4" s="5"/>
      <c r="X4" s="5"/>
      <c r="Y4" s="60"/>
      <c r="Z4" s="5"/>
      <c r="AA4" s="5"/>
      <c r="AB4" s="5"/>
      <c r="AC4" s="5"/>
      <c r="AD4" s="5"/>
      <c r="AE4" s="5"/>
      <c r="AF4" s="5"/>
    </row>
    <row r="5" spans="1:36" ht="39.75" customHeight="1">
      <c r="A5" s="111" t="s">
        <v>983</v>
      </c>
      <c r="B5" s="111" t="s">
        <v>35</v>
      </c>
      <c r="C5" s="111" t="s">
        <v>36</v>
      </c>
      <c r="D5" s="111" t="s">
        <v>33</v>
      </c>
      <c r="E5" s="84" t="s">
        <v>345</v>
      </c>
      <c r="F5" s="102"/>
      <c r="G5" s="102"/>
      <c r="H5" s="85"/>
      <c r="I5" s="84" t="s">
        <v>26</v>
      </c>
      <c r="J5" s="102"/>
      <c r="K5" s="102"/>
      <c r="L5" s="85"/>
      <c r="M5" s="84" t="s">
        <v>25</v>
      </c>
      <c r="N5" s="102"/>
      <c r="O5" s="102"/>
      <c r="P5" s="85"/>
      <c r="Q5" s="84" t="s">
        <v>27</v>
      </c>
      <c r="R5" s="102"/>
      <c r="S5" s="102"/>
      <c r="T5" s="85"/>
      <c r="U5" s="84" t="s">
        <v>24</v>
      </c>
      <c r="V5" s="102"/>
      <c r="W5" s="102"/>
      <c r="X5" s="85"/>
      <c r="Y5" s="84" t="s">
        <v>23</v>
      </c>
      <c r="Z5" s="102"/>
      <c r="AA5" s="102"/>
      <c r="AB5" s="85"/>
      <c r="AC5" s="84" t="s">
        <v>2</v>
      </c>
      <c r="AD5" s="102"/>
      <c r="AE5" s="102"/>
      <c r="AF5" s="85"/>
      <c r="AG5" s="103" t="s">
        <v>115</v>
      </c>
      <c r="AH5" s="104"/>
      <c r="AI5" s="104"/>
      <c r="AJ5" s="105"/>
    </row>
    <row r="6" spans="1:36" ht="25.5" customHeight="1">
      <c r="A6" s="112"/>
      <c r="B6" s="112"/>
      <c r="C6" s="112"/>
      <c r="D6" s="112"/>
      <c r="E6" s="84" t="s">
        <v>982</v>
      </c>
      <c r="F6" s="85"/>
      <c r="G6" s="86" t="s">
        <v>34</v>
      </c>
      <c r="H6" s="91"/>
      <c r="I6" s="84" t="s">
        <v>982</v>
      </c>
      <c r="J6" s="85"/>
      <c r="K6" s="86" t="s">
        <v>34</v>
      </c>
      <c r="L6" s="91"/>
      <c r="M6" s="84" t="s">
        <v>982</v>
      </c>
      <c r="N6" s="85"/>
      <c r="O6" s="86" t="s">
        <v>34</v>
      </c>
      <c r="P6" s="91"/>
      <c r="Q6" s="84" t="s">
        <v>982</v>
      </c>
      <c r="R6" s="85"/>
      <c r="S6" s="86" t="s">
        <v>34</v>
      </c>
      <c r="T6" s="91"/>
      <c r="U6" s="84" t="s">
        <v>982</v>
      </c>
      <c r="V6" s="85"/>
      <c r="W6" s="86" t="s">
        <v>34</v>
      </c>
      <c r="X6" s="91"/>
      <c r="Y6" s="84" t="s">
        <v>982</v>
      </c>
      <c r="Z6" s="85"/>
      <c r="AA6" s="86" t="s">
        <v>34</v>
      </c>
      <c r="AB6" s="91"/>
      <c r="AC6" s="84" t="s">
        <v>982</v>
      </c>
      <c r="AD6" s="85"/>
      <c r="AE6" s="86" t="s">
        <v>34</v>
      </c>
      <c r="AF6" s="91"/>
      <c r="AG6" s="84" t="s">
        <v>982</v>
      </c>
      <c r="AH6" s="85"/>
      <c r="AI6" s="86" t="s">
        <v>34</v>
      </c>
      <c r="AJ6" s="91"/>
    </row>
    <row r="7" spans="1:36" ht="64.5" thickBot="1">
      <c r="A7" s="52" t="s">
        <v>3</v>
      </c>
      <c r="B7" s="52" t="s">
        <v>3</v>
      </c>
      <c r="C7" s="52" t="s">
        <v>20</v>
      </c>
      <c r="D7" s="52"/>
      <c r="E7" s="53" t="s">
        <v>17</v>
      </c>
      <c r="F7" s="52" t="s">
        <v>471</v>
      </c>
      <c r="G7" s="53" t="s">
        <v>17</v>
      </c>
      <c r="H7" s="52" t="s">
        <v>471</v>
      </c>
      <c r="I7" s="53" t="s">
        <v>17</v>
      </c>
      <c r="J7" s="52" t="s">
        <v>471</v>
      </c>
      <c r="K7" s="53" t="s">
        <v>17</v>
      </c>
      <c r="L7" s="52" t="s">
        <v>471</v>
      </c>
      <c r="M7" s="53" t="s">
        <v>17</v>
      </c>
      <c r="N7" s="52" t="s">
        <v>471</v>
      </c>
      <c r="O7" s="53" t="s">
        <v>17</v>
      </c>
      <c r="P7" s="52" t="s">
        <v>471</v>
      </c>
      <c r="Q7" s="53" t="s">
        <v>17</v>
      </c>
      <c r="R7" s="52" t="s">
        <v>471</v>
      </c>
      <c r="S7" s="53" t="s">
        <v>17</v>
      </c>
      <c r="T7" s="52" t="s">
        <v>471</v>
      </c>
      <c r="U7" s="53" t="s">
        <v>17</v>
      </c>
      <c r="V7" s="52" t="s">
        <v>471</v>
      </c>
      <c r="W7" s="53" t="s">
        <v>17</v>
      </c>
      <c r="X7" s="52" t="s">
        <v>471</v>
      </c>
      <c r="Y7" s="54" t="s">
        <v>17</v>
      </c>
      <c r="Z7" s="52" t="s">
        <v>471</v>
      </c>
      <c r="AA7" s="53" t="s">
        <v>17</v>
      </c>
      <c r="AB7" s="52" t="s">
        <v>471</v>
      </c>
      <c r="AC7" s="53" t="s">
        <v>17</v>
      </c>
      <c r="AD7" s="52" t="s">
        <v>471</v>
      </c>
      <c r="AE7" s="53" t="s">
        <v>17</v>
      </c>
      <c r="AF7" s="52" t="s">
        <v>471</v>
      </c>
      <c r="AG7" s="53" t="s">
        <v>17</v>
      </c>
      <c r="AH7" s="52" t="s">
        <v>471</v>
      </c>
      <c r="AI7" s="53" t="s">
        <v>17</v>
      </c>
      <c r="AJ7" s="18" t="s">
        <v>471</v>
      </c>
    </row>
    <row r="8" spans="1:36" s="51" customFormat="1" ht="153.75" thickTop="1">
      <c r="A8" s="108"/>
      <c r="B8" s="108"/>
      <c r="C8" s="106"/>
      <c r="D8" s="106"/>
      <c r="E8" s="16" t="s">
        <v>131</v>
      </c>
      <c r="F8" s="14">
        <v>1300</v>
      </c>
      <c r="G8" s="16" t="s">
        <v>977</v>
      </c>
      <c r="H8" s="20" t="s">
        <v>978</v>
      </c>
      <c r="I8" s="16"/>
      <c r="J8" s="15"/>
      <c r="K8" s="16" t="s">
        <v>797</v>
      </c>
      <c r="L8" s="15">
        <v>17975</v>
      </c>
      <c r="M8" s="18" t="s">
        <v>503</v>
      </c>
      <c r="N8" s="14">
        <v>6000</v>
      </c>
      <c r="O8" s="13" t="s">
        <v>980</v>
      </c>
      <c r="P8" s="62" t="s">
        <v>981</v>
      </c>
      <c r="Q8" s="16" t="s">
        <v>544</v>
      </c>
      <c r="R8" s="21">
        <v>11500</v>
      </c>
      <c r="S8" s="13"/>
      <c r="T8" s="21"/>
      <c r="U8" s="19"/>
      <c r="V8" s="15"/>
      <c r="W8" s="16" t="s">
        <v>975</v>
      </c>
      <c r="X8" s="14">
        <v>5271</v>
      </c>
      <c r="Y8" s="24" t="s">
        <v>647</v>
      </c>
      <c r="Z8" s="16" t="s">
        <v>206</v>
      </c>
      <c r="AA8" s="16" t="s">
        <v>969</v>
      </c>
      <c r="AB8" s="16" t="s">
        <v>796</v>
      </c>
      <c r="AC8" s="25"/>
      <c r="AD8" s="15"/>
      <c r="AE8" s="16" t="s">
        <v>972</v>
      </c>
      <c r="AF8" s="16" t="s">
        <v>971</v>
      </c>
      <c r="AG8" s="59" t="s">
        <v>245</v>
      </c>
      <c r="AH8" s="27">
        <v>5200</v>
      </c>
      <c r="AI8" s="26"/>
      <c r="AJ8" s="26"/>
    </row>
    <row r="9" spans="1:36" s="51" customFormat="1" ht="216.75">
      <c r="A9" s="109"/>
      <c r="B9" s="109"/>
      <c r="C9" s="110"/>
      <c r="D9" s="107"/>
      <c r="E9" s="57"/>
      <c r="F9" s="57"/>
      <c r="G9" s="13" t="s">
        <v>979</v>
      </c>
      <c r="H9" s="13">
        <v>5880</v>
      </c>
      <c r="I9" s="13"/>
      <c r="J9" s="58"/>
      <c r="K9" s="58"/>
      <c r="L9" s="58"/>
      <c r="M9" s="18" t="s">
        <v>499</v>
      </c>
      <c r="N9" s="21">
        <v>6400</v>
      </c>
      <c r="O9" s="23" t="s">
        <v>970</v>
      </c>
      <c r="P9" s="18" t="s">
        <v>795</v>
      </c>
      <c r="Q9" s="50"/>
      <c r="R9" s="50"/>
      <c r="S9" s="50"/>
      <c r="U9" s="57"/>
      <c r="V9" s="57"/>
      <c r="W9" s="13" t="s">
        <v>976</v>
      </c>
      <c r="X9" s="13">
        <v>2770</v>
      </c>
      <c r="Y9" s="25"/>
      <c r="Z9" s="57"/>
      <c r="AA9" s="57"/>
      <c r="AB9" s="57"/>
      <c r="AC9" s="13"/>
      <c r="AD9" s="57"/>
      <c r="AE9" s="13" t="s">
        <v>974</v>
      </c>
      <c r="AF9" s="13" t="s">
        <v>973</v>
      </c>
      <c r="AG9" s="22"/>
      <c r="AH9" s="22"/>
      <c r="AI9" s="50"/>
      <c r="AJ9" s="50"/>
    </row>
    <row r="10" spans="1:36" s="51" customFormat="1" ht="13.5" thickBot="1">
      <c r="A10" s="63">
        <v>170886.7</v>
      </c>
      <c r="B10" s="63">
        <v>-82343.149999999994</v>
      </c>
      <c r="C10" s="64">
        <v>58816</v>
      </c>
      <c r="D10" s="64">
        <v>164308</v>
      </c>
      <c r="E10" s="65"/>
      <c r="F10" s="66">
        <v>1300</v>
      </c>
      <c r="G10" s="65"/>
      <c r="H10" s="66">
        <v>13958</v>
      </c>
      <c r="I10" s="65"/>
      <c r="J10" s="65"/>
      <c r="K10" s="65"/>
      <c r="L10" s="65">
        <v>17975</v>
      </c>
      <c r="M10" s="65"/>
      <c r="N10" s="66">
        <v>12400</v>
      </c>
      <c r="O10" s="65"/>
      <c r="P10" s="66">
        <v>9391</v>
      </c>
      <c r="Q10" s="65"/>
      <c r="R10" s="66">
        <v>11500</v>
      </c>
      <c r="S10" s="65"/>
      <c r="T10" s="66"/>
      <c r="U10" s="65"/>
      <c r="V10" s="65"/>
      <c r="W10" s="65"/>
      <c r="X10" s="66">
        <v>8041</v>
      </c>
      <c r="Y10" s="67"/>
      <c r="Z10" s="66">
        <v>28416</v>
      </c>
      <c r="AA10" s="65"/>
      <c r="AB10" s="65">
        <v>49673</v>
      </c>
      <c r="AC10" s="68"/>
      <c r="AD10" s="65"/>
      <c r="AE10" s="65"/>
      <c r="AF10" s="65">
        <v>65270</v>
      </c>
      <c r="AG10" s="69"/>
      <c r="AH10" s="70">
        <v>5200</v>
      </c>
      <c r="AI10" s="71"/>
      <c r="AJ10" s="71"/>
    </row>
    <row r="11" spans="1:36" ht="13.5" thickTop="1"/>
  </sheetData>
  <autoFilter ref="A7:AJ10"/>
  <mergeCells count="34">
    <mergeCell ref="AA6:AB6"/>
    <mergeCell ref="D8:D9"/>
    <mergeCell ref="A8:A9"/>
    <mergeCell ref="B8:B9"/>
    <mergeCell ref="C8:C9"/>
    <mergeCell ref="A5:A6"/>
    <mergeCell ref="E5:H5"/>
    <mergeCell ref="I5:L5"/>
    <mergeCell ref="D5:D6"/>
    <mergeCell ref="C5:C6"/>
    <mergeCell ref="B5:B6"/>
    <mergeCell ref="G6:H6"/>
    <mergeCell ref="E6:F6"/>
    <mergeCell ref="O6:P6"/>
    <mergeCell ref="S6:T6"/>
    <mergeCell ref="A2:P2"/>
    <mergeCell ref="A3:P3"/>
    <mergeCell ref="W6:X6"/>
    <mergeCell ref="I6:J6"/>
    <mergeCell ref="K6:L6"/>
    <mergeCell ref="AG6:AH6"/>
    <mergeCell ref="M5:P5"/>
    <mergeCell ref="Q5:T5"/>
    <mergeCell ref="U5:X5"/>
    <mergeCell ref="Y5:AB5"/>
    <mergeCell ref="AC5:AF5"/>
    <mergeCell ref="AG5:AJ5"/>
    <mergeCell ref="AE6:AF6"/>
    <mergeCell ref="AI6:AJ6"/>
    <mergeCell ref="M6:N6"/>
    <mergeCell ref="Q6:R6"/>
    <mergeCell ref="U6:V6"/>
    <mergeCell ref="Y6:Z6"/>
    <mergeCell ref="AC6:AD6"/>
  </mergeCells>
  <pageMargins left="0.19685039370078741" right="0" top="0" bottom="0" header="0.51181102362204722" footer="0.51181102362204722"/>
  <pageSetup paperSize="9" scale="10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2017 жэк</vt:lpstr>
      <vt:lpstr>монт 10</vt:lpstr>
      <vt:lpstr>'2017 жэк'!Заголовки_для_печати</vt:lpstr>
      <vt:lpstr>'монт 10'!Заголовки_для_печати</vt:lpstr>
    </vt:vector>
  </TitlesOfParts>
  <Company>ЗАО ТЭС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Тесленко</dc:creator>
  <cp:lastModifiedBy>Шишкин</cp:lastModifiedBy>
  <cp:lastPrinted>2018-04-03T04:15:26Z</cp:lastPrinted>
  <dcterms:created xsi:type="dcterms:W3CDTF">2010-11-16T11:20:52Z</dcterms:created>
  <dcterms:modified xsi:type="dcterms:W3CDTF">2018-04-04T10:03:27Z</dcterms:modified>
</cp:coreProperties>
</file>